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New folder (2)\1-ENG WORK\1-Design Data\3-Plumbing\5-Plumbing Software\MEP SHEETS WS &amp; DRAINAGE\"/>
    </mc:Choice>
  </mc:AlternateContent>
  <xr:revisionPtr revIDLastSave="0" documentId="13_ncr:1_{ED5905A8-62D7-4BC7-9502-2C5D82597D12}" xr6:coauthVersionLast="36" xr6:coauthVersionMax="36" xr10:uidLastSave="{00000000-0000-0000-0000-000000000000}"/>
  <bookViews>
    <workbookView xWindow="0" yWindow="0" windowWidth="28800" windowHeight="13277" activeTab="1" xr2:uid="{00000000-000D-0000-FFFF-FFFF00000000}"/>
  </bookViews>
  <sheets>
    <sheet name="COVER" sheetId="9" r:id="rId1"/>
    <sheet name="HWCP CALCULATION OPT#1" sheetId="4" r:id="rId2"/>
    <sheet name="HWCP CALCULATION OPT#2" sheetId="7" r:id="rId3"/>
    <sheet name="HWR PIPE SIZE" sheetId="10" r:id="rId4"/>
    <sheet name="ASPE DATA SHEET" sheetId="5" r:id="rId5"/>
    <sheet name="HELPER" sheetId="6" r:id="rId6"/>
    <sheet name="STD PIPE SIZE" sheetId="1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Design_of_Sanitary_Sewer_System" localSheetId="3">#REF!</definedName>
    <definedName name="__Design_of_Sanitary_Sewer_System">#REF!</definedName>
    <definedName name="__goback" localSheetId="6">'STD PIPE SIZE'!$E$62</definedName>
    <definedName name="__Manhole_Depth_Analysis" localSheetId="3">#REF!</definedName>
    <definedName name="__Manhole_Depth_Analysis">#REF!</definedName>
    <definedName name="__Manhole_Schedule" localSheetId="3">#REF!</definedName>
    <definedName name="__Manhole_Schedule">#REF!</definedName>
    <definedName name="__Peak_Sewage_Flow_Data" localSheetId="3">#REF!</definedName>
    <definedName name="__Peak_Sewage_Flow_Data">#REF!</definedName>
    <definedName name="__SEWAGE" localSheetId="3">#REF!</definedName>
    <definedName name="__SEWAGE">#REF!</definedName>
    <definedName name="__WATER" localSheetId="3">#REF!</definedName>
    <definedName name="__WATER">#REF!</definedName>
    <definedName name="_2003070815161717" localSheetId="3">#REF!</definedName>
    <definedName name="_2003070815161717">#REF!</definedName>
    <definedName name="_2005080709393167" localSheetId="3">'[1]FM-200'!#REF!</definedName>
    <definedName name="_2005080709393167">'[1]FM-200'!#REF!</definedName>
    <definedName name="_depth_printarea" localSheetId="3">#REF!</definedName>
    <definedName name="_depth_printarea">#REF!</definedName>
    <definedName name="_Fill" localSheetId="3" hidden="1">#REF!</definedName>
    <definedName name="_Fill" hidden="1">#REF!</definedName>
    <definedName name="_flow_printarea" localSheetId="3">#REF!</definedName>
    <definedName name="_flow_printarea">#REF!</definedName>
    <definedName name="_Key1" localSheetId="3" hidden="1">[2]ABB!#REF!</definedName>
    <definedName name="_Key1" hidden="1">[2]ABB!#REF!</definedName>
    <definedName name="_Order1" hidden="1">255</definedName>
    <definedName name="_Order2" hidden="1">255</definedName>
    <definedName name="_pipe_printarea" localSheetId="3">#REF!</definedName>
    <definedName name="_pipe_printarea">#REF!</definedName>
    <definedName name="_pipeall_printarea" localSheetId="3">#REF!</definedName>
    <definedName name="_pipeall_printarea">#REF!</definedName>
    <definedName name="_S" localSheetId="3">#REF!</definedName>
    <definedName name="_S">#REF!</definedName>
    <definedName name="_sch_printarea" localSheetId="3">#REF!</definedName>
    <definedName name="_sch_printarea">#REF!</definedName>
    <definedName name="_W" localSheetId="3">#REF!</definedName>
    <definedName name="_W">#REF!</definedName>
    <definedName name="B_1" localSheetId="3">#REF!</definedName>
    <definedName name="B_1">#REF!</definedName>
    <definedName name="B_2">#N/A</definedName>
    <definedName name="B_3">#N/A</definedName>
    <definedName name="B_4">#N/A</definedName>
    <definedName name="B_5">#N/A</definedName>
    <definedName name="DDD" localSheetId="3">#REF!</definedName>
    <definedName name="DDD">#REF!</definedName>
    <definedName name="DESIGN" localSheetId="3">#REF!</definedName>
    <definedName name="DESIGN">#REF!</definedName>
    <definedName name="e_depth" localSheetId="3">[3]!e_depth</definedName>
    <definedName name="e_depth">[3]!e_depth</definedName>
    <definedName name="EDEPTH" localSheetId="3">[3]!e_depth</definedName>
    <definedName name="EDEPTH">[3]!e_depth</definedName>
    <definedName name="EEEE" localSheetId="3">#REF!</definedName>
    <definedName name="EEEE">#REF!</definedName>
    <definedName name="END">#N/A</definedName>
    <definedName name="ERV" localSheetId="3">#REF!</definedName>
    <definedName name="ERV">#REF!</definedName>
    <definedName name="FDD" localSheetId="3">#REF!</definedName>
    <definedName name="FDD">#REF!</definedName>
    <definedName name="FFDD" localSheetId="3">#REF!</definedName>
    <definedName name="FFDD">#REF!</definedName>
    <definedName name="FFF" localSheetId="3" hidden="1">#REF!</definedName>
    <definedName name="FFF" hidden="1">#REF!</definedName>
    <definedName name="FFFF" localSheetId="3">#REF!</definedName>
    <definedName name="FFFF">#REF!</definedName>
    <definedName name="FIRE" localSheetId="3">'[4]SHEETS INDEX'!#REF!</definedName>
    <definedName name="FIRE" localSheetId="6">'[4]SHEETS INDEX'!#REF!</definedName>
    <definedName name="FIRE">'[5]SHEETS INDEX'!#REF!</definedName>
    <definedName name="GG" localSheetId="3">#REF!</definedName>
    <definedName name="GG">#REF!</definedName>
    <definedName name="GRG" localSheetId="3">#REF!</definedName>
    <definedName name="GRG">#REF!</definedName>
    <definedName name="IIF__PAGE_NUM___5___BUILDING_COSTS____SITEWORK_COSTS" localSheetId="2">#REF!</definedName>
    <definedName name="IIF__PAGE_NUM___5___BUILDING_COSTS____SITEWORK_COSTS">#REF!</definedName>
    <definedName name="MMMM" localSheetId="3">#REF!</definedName>
    <definedName name="MMMM">#REF!</definedName>
    <definedName name="OOK" localSheetId="3">#REF!</definedName>
    <definedName name="OOK">#REF!</definedName>
    <definedName name="P_21Mech_S" localSheetId="2">#REF!</definedName>
    <definedName name="P_21Mech_S">#REF!</definedName>
    <definedName name="P_22" localSheetId="2">#REF!</definedName>
    <definedName name="P_22">#REF!</definedName>
    <definedName name="P_23" localSheetId="2">#REF!</definedName>
    <definedName name="P_23">#REF!</definedName>
    <definedName name="P_24" localSheetId="2">#REF!</definedName>
    <definedName name="P_24">#REF!</definedName>
    <definedName name="P_25" localSheetId="2">#REF!</definedName>
    <definedName name="P_25">#REF!</definedName>
    <definedName name="P_26" localSheetId="2">#REF!</definedName>
    <definedName name="P_26">#REF!</definedName>
    <definedName name="P_27" localSheetId="2">#REF!</definedName>
    <definedName name="P_27">#REF!</definedName>
    <definedName name="P_28" localSheetId="2">#REF!</definedName>
    <definedName name="P_28">#REF!</definedName>
    <definedName name="P_29" localSheetId="2">#REF!</definedName>
    <definedName name="P_29">#REF!</definedName>
    <definedName name="P_30" localSheetId="2">#REF!</definedName>
    <definedName name="P_30">#REF!</definedName>
    <definedName name="P_31" localSheetId="2">#REF!</definedName>
    <definedName name="P_31">#REF!</definedName>
    <definedName name="PPPP" localSheetId="3">#REF!</definedName>
    <definedName name="PPPP">#REF!</definedName>
    <definedName name="_xlnm.Print_Area" localSheetId="0">COVER!$A$1:$C$37</definedName>
    <definedName name="_xlnm.Print_Area" localSheetId="1">'HWCP CALCULATION OPT#1'!$A$1:$J$54</definedName>
    <definedName name="_xlnm.Print_Area" localSheetId="2">'HWCP CALCULATION OPT#2'!$A$1:$J$70</definedName>
    <definedName name="_xlnm.Print_Area" localSheetId="3">'HWR PIPE SIZE'!$A$1:$L$46</definedName>
    <definedName name="_xlnm.Print_Titles" localSheetId="1">'HWCP CALCULATION OPT#1'!$2:$2</definedName>
    <definedName name="_xlnm.Print_Titles" localSheetId="2">'HWCP CALCULATION OPT#2'!$2:$2</definedName>
    <definedName name="QQQQQ" localSheetId="3">#REF!</definedName>
    <definedName name="QQQQQ">#REF!</definedName>
    <definedName name="TTTT" localSheetId="3">#REF!</definedName>
    <definedName name="TTTT">#REF!</definedName>
    <definedName name="WD" localSheetId="3" hidden="1">#REF!</definedName>
    <definedName name="WD" hidden="1">#REF!</definedName>
    <definedName name="WWWW" localSheetId="3">#REF!</definedName>
    <definedName name="WWW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" i="10" l="1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13" i="10"/>
  <c r="J14" i="10"/>
  <c r="Q38" i="11"/>
  <c r="L38" i="11"/>
  <c r="Q37" i="11"/>
  <c r="L37" i="11"/>
  <c r="Q36" i="11"/>
  <c r="L36" i="11"/>
  <c r="Q35" i="11"/>
  <c r="L35" i="11"/>
  <c r="Q34" i="11"/>
  <c r="L34" i="11"/>
  <c r="Q33" i="11"/>
  <c r="L33" i="11"/>
  <c r="Q32" i="11"/>
  <c r="L32" i="11"/>
  <c r="Q31" i="11"/>
  <c r="L31" i="11"/>
  <c r="Q30" i="11"/>
  <c r="L30" i="11"/>
  <c r="H30" i="11"/>
  <c r="Q29" i="11"/>
  <c r="L29" i="11"/>
  <c r="S22" i="11"/>
  <c r="S21" i="11"/>
  <c r="Q21" i="11"/>
  <c r="S20" i="11"/>
  <c r="Q20" i="11"/>
  <c r="S19" i="11"/>
  <c r="Q19" i="11"/>
  <c r="S18" i="11"/>
  <c r="Q18" i="11"/>
  <c r="S17" i="11"/>
  <c r="Q17" i="11"/>
  <c r="S16" i="11"/>
  <c r="Q16" i="11"/>
  <c r="S15" i="11"/>
  <c r="Q15" i="11"/>
  <c r="S14" i="11"/>
  <c r="Q14" i="11"/>
  <c r="S13" i="11"/>
  <c r="Q13" i="11"/>
  <c r="S12" i="11"/>
  <c r="Q12" i="11"/>
  <c r="S11" i="11"/>
  <c r="Q11" i="11"/>
  <c r="S10" i="11"/>
  <c r="Q10" i="11"/>
  <c r="S9" i="11"/>
  <c r="M9" i="11"/>
  <c r="H9" i="11"/>
  <c r="Q9" i="11" s="1"/>
  <c r="I43" i="10"/>
  <c r="G43" i="10"/>
  <c r="I42" i="10"/>
  <c r="G42" i="10"/>
  <c r="I41" i="10"/>
  <c r="G41" i="10"/>
  <c r="I40" i="10"/>
  <c r="G40" i="10"/>
  <c r="I39" i="10"/>
  <c r="G39" i="10"/>
  <c r="I38" i="10"/>
  <c r="G38" i="10"/>
  <c r="I37" i="10"/>
  <c r="G37" i="10"/>
  <c r="I36" i="10"/>
  <c r="G36" i="10"/>
  <c r="I35" i="10"/>
  <c r="G35" i="10"/>
  <c r="I34" i="10"/>
  <c r="G34" i="10"/>
  <c r="I33" i="10"/>
  <c r="G33" i="10"/>
  <c r="I32" i="10"/>
  <c r="G32" i="10"/>
  <c r="I31" i="10"/>
  <c r="G31" i="10"/>
  <c r="I30" i="10"/>
  <c r="G30" i="10"/>
  <c r="I29" i="10"/>
  <c r="G29" i="10"/>
  <c r="I28" i="10"/>
  <c r="G28" i="10"/>
  <c r="I27" i="10"/>
  <c r="G27" i="10"/>
  <c r="I26" i="10"/>
  <c r="G26" i="10"/>
  <c r="I25" i="10"/>
  <c r="G25" i="10"/>
  <c r="I24" i="10"/>
  <c r="G24" i="10"/>
  <c r="I23" i="10"/>
  <c r="G23" i="10"/>
  <c r="I22" i="10"/>
  <c r="G22" i="10"/>
  <c r="I21" i="10"/>
  <c r="G21" i="10"/>
  <c r="I20" i="10"/>
  <c r="G20" i="10"/>
  <c r="I19" i="10"/>
  <c r="G19" i="10"/>
  <c r="I18" i="10"/>
  <c r="G18" i="10"/>
  <c r="I17" i="10"/>
  <c r="G17" i="10"/>
  <c r="I16" i="10"/>
  <c r="G16" i="10"/>
  <c r="I15" i="10"/>
  <c r="G15" i="10"/>
  <c r="I14" i="10"/>
  <c r="G14" i="10"/>
  <c r="I13" i="10"/>
  <c r="G13" i="10"/>
  <c r="K3" i="10"/>
  <c r="G55" i="7" l="1"/>
  <c r="G58" i="7" s="1"/>
  <c r="G59" i="7" s="1"/>
  <c r="G47" i="7"/>
  <c r="G50" i="7" s="1"/>
  <c r="G51" i="7" s="1"/>
  <c r="G39" i="4" l="1"/>
  <c r="G42" i="4" l="1"/>
  <c r="G43" i="4" s="1"/>
  <c r="F29" i="7"/>
  <c r="G29" i="7" s="1"/>
  <c r="G27" i="7"/>
  <c r="G30" i="7"/>
  <c r="F22" i="7"/>
  <c r="G22" i="7" s="1"/>
  <c r="F23" i="7"/>
  <c r="G23" i="7" s="1"/>
  <c r="F24" i="7"/>
  <c r="G24" i="7" s="1"/>
  <c r="F25" i="7"/>
  <c r="G25" i="7" s="1"/>
  <c r="F26" i="7"/>
  <c r="G26" i="7" s="1"/>
  <c r="F27" i="7"/>
  <c r="F28" i="7"/>
  <c r="G28" i="7" s="1"/>
  <c r="F30" i="7"/>
  <c r="F31" i="7"/>
  <c r="G31" i="7" s="1"/>
  <c r="F32" i="7"/>
  <c r="G32" i="7" s="1"/>
  <c r="F21" i="7"/>
  <c r="G21" i="7" s="1"/>
  <c r="V7" i="5" l="1"/>
  <c r="R9" i="6"/>
  <c r="S9" i="6"/>
  <c r="T9" i="6"/>
  <c r="U9" i="6"/>
  <c r="R10" i="6"/>
  <c r="S10" i="6"/>
  <c r="T10" i="6"/>
  <c r="U10" i="6"/>
  <c r="R11" i="6"/>
  <c r="S11" i="6"/>
  <c r="T11" i="6"/>
  <c r="U11" i="6"/>
  <c r="R12" i="6"/>
  <c r="S12" i="6"/>
  <c r="T12" i="6"/>
  <c r="U12" i="6"/>
  <c r="R13" i="6"/>
  <c r="S13" i="6"/>
  <c r="T13" i="6"/>
  <c r="U13" i="6"/>
  <c r="R14" i="6"/>
  <c r="S14" i="6"/>
  <c r="T14" i="6"/>
  <c r="U14" i="6"/>
  <c r="R15" i="6"/>
  <c r="S15" i="6"/>
  <c r="T15" i="6"/>
  <c r="U15" i="6"/>
  <c r="R16" i="6"/>
  <c r="S16" i="6"/>
  <c r="T16" i="6"/>
  <c r="U16" i="6"/>
  <c r="R17" i="6"/>
  <c r="S17" i="6"/>
  <c r="T17" i="6"/>
  <c r="U17" i="6"/>
  <c r="R18" i="6"/>
  <c r="S18" i="6"/>
  <c r="T18" i="6"/>
  <c r="U18" i="6"/>
  <c r="R19" i="6"/>
  <c r="S19" i="6"/>
  <c r="T19" i="6"/>
  <c r="U19" i="6"/>
  <c r="R20" i="6"/>
  <c r="S20" i="6"/>
  <c r="T20" i="6"/>
  <c r="U20" i="6"/>
  <c r="R21" i="6"/>
  <c r="S21" i="6"/>
  <c r="T21" i="6"/>
  <c r="U21" i="6"/>
  <c r="R22" i="6"/>
  <c r="S22" i="6"/>
  <c r="T22" i="6"/>
  <c r="U22" i="6"/>
  <c r="R23" i="6"/>
  <c r="S23" i="6"/>
  <c r="T23" i="6"/>
  <c r="U23" i="6"/>
  <c r="R24" i="6"/>
  <c r="S24" i="6"/>
  <c r="T24" i="6"/>
  <c r="U24" i="6"/>
  <c r="R8" i="6"/>
  <c r="R7" i="6"/>
  <c r="S8" i="6"/>
  <c r="S7" i="6"/>
  <c r="T8" i="6"/>
  <c r="T7" i="6"/>
  <c r="U8" i="6"/>
  <c r="U7" i="6"/>
  <c r="D12" i="7"/>
  <c r="D11" i="7"/>
  <c r="D10" i="7"/>
  <c r="D9" i="7"/>
  <c r="I9" i="6"/>
  <c r="I10" i="6"/>
  <c r="I11" i="6"/>
  <c r="I12" i="6"/>
  <c r="I13" i="6"/>
  <c r="I14" i="6"/>
  <c r="I15" i="6"/>
  <c r="I16" i="6"/>
  <c r="I17" i="6"/>
  <c r="I18" i="6"/>
  <c r="I19" i="6"/>
  <c r="I8" i="6"/>
  <c r="G33" i="7" l="1"/>
  <c r="I20" i="6"/>
  <c r="I33" i="7" l="1"/>
  <c r="E36" i="7" s="1"/>
  <c r="T11" i="5" s="1"/>
  <c r="U11" i="5" s="1"/>
  <c r="K20" i="6"/>
  <c r="H37" i="7" l="1"/>
  <c r="E39" i="7" s="1"/>
  <c r="E40" i="7" s="1"/>
  <c r="E37" i="7"/>
  <c r="E24" i="6"/>
  <c r="E26" i="6" s="1"/>
  <c r="E27" i="6" s="1"/>
  <c r="E42" i="7" l="1"/>
  <c r="G65" i="7" s="1"/>
  <c r="E41" i="7"/>
  <c r="H47" i="5" s="1"/>
  <c r="H48" i="5" l="1"/>
  <c r="B67" i="7" s="1"/>
  <c r="K11" i="5"/>
  <c r="L11" i="5"/>
  <c r="M11" i="5"/>
  <c r="N11" i="5"/>
  <c r="K12" i="5"/>
  <c r="L12" i="5"/>
  <c r="M12" i="5"/>
  <c r="N12" i="5"/>
  <c r="K13" i="5"/>
  <c r="L13" i="5"/>
  <c r="M13" i="5"/>
  <c r="N13" i="5"/>
  <c r="K14" i="5"/>
  <c r="L14" i="5"/>
  <c r="M14" i="5"/>
  <c r="N14" i="5"/>
  <c r="K15" i="5"/>
  <c r="L15" i="5"/>
  <c r="M15" i="5"/>
  <c r="N15" i="5"/>
  <c r="K16" i="5"/>
  <c r="L16" i="5"/>
  <c r="M16" i="5"/>
  <c r="N16" i="5"/>
  <c r="K17" i="5"/>
  <c r="L17" i="5"/>
  <c r="M17" i="5"/>
  <c r="N17" i="5"/>
  <c r="K18" i="5"/>
  <c r="L18" i="5"/>
  <c r="M18" i="5"/>
  <c r="N18" i="5"/>
  <c r="K19" i="5"/>
  <c r="L19" i="5"/>
  <c r="M19" i="5"/>
  <c r="N19" i="5"/>
  <c r="K20" i="5"/>
  <c r="L20" i="5"/>
  <c r="M20" i="5"/>
  <c r="N20" i="5"/>
  <c r="K21" i="5"/>
  <c r="L21" i="5"/>
  <c r="M21" i="5"/>
  <c r="N21" i="5"/>
  <c r="K22" i="5"/>
  <c r="L22" i="5"/>
  <c r="M22" i="5"/>
  <c r="N22" i="5"/>
  <c r="D10" i="4" l="1"/>
  <c r="D11" i="4"/>
  <c r="D12" i="4"/>
  <c r="D9" i="4"/>
  <c r="H19" i="4" l="1"/>
  <c r="H20" i="4" s="1"/>
  <c r="T12" i="5" s="1"/>
  <c r="U12" i="5" s="1"/>
  <c r="G31" i="4"/>
  <c r="G34" i="4" l="1"/>
  <c r="G35" i="4" s="1"/>
  <c r="E20" i="4"/>
  <c r="H21" i="4" l="1"/>
  <c r="E21" i="4" l="1"/>
  <c r="E23" i="4"/>
  <c r="E24" i="4" s="1"/>
  <c r="E25" i="4" l="1"/>
  <c r="H43" i="5" s="1"/>
  <c r="E26" i="4"/>
  <c r="G49" i="4" l="1"/>
  <c r="H44" i="5" s="1"/>
  <c r="B51" i="4" s="1"/>
  <c r="C28" i="10" l="1"/>
  <c r="E28" i="10" s="1"/>
  <c r="F28" i="10" s="1"/>
  <c r="K28" i="10" s="1"/>
  <c r="C36" i="10" l="1"/>
  <c r="E36" i="10" s="1"/>
  <c r="F36" i="10" s="1"/>
  <c r="K36" i="10" s="1"/>
  <c r="C43" i="10"/>
  <c r="E43" i="10" s="1"/>
  <c r="F43" i="10" s="1"/>
  <c r="K43" i="10" s="1"/>
  <c r="C42" i="10"/>
  <c r="E42" i="10" s="1"/>
  <c r="F42" i="10" s="1"/>
  <c r="K42" i="10" s="1"/>
  <c r="C19" i="10"/>
  <c r="E19" i="10" s="1"/>
  <c r="F19" i="10" s="1"/>
  <c r="K19" i="10" s="1"/>
  <c r="C27" i="10"/>
  <c r="E27" i="10" s="1"/>
  <c r="F27" i="10" s="1"/>
  <c r="K27" i="10" s="1"/>
  <c r="C13" i="10"/>
  <c r="E13" i="10" s="1"/>
  <c r="F13" i="10" s="1"/>
  <c r="K13" i="10" s="1"/>
  <c r="C21" i="10"/>
  <c r="E21" i="10" s="1"/>
  <c r="F21" i="10" s="1"/>
  <c r="K21" i="10" s="1"/>
  <c r="C29" i="10"/>
  <c r="E29" i="10" s="1"/>
  <c r="F29" i="10" s="1"/>
  <c r="K29" i="10" s="1"/>
  <c r="C37" i="10"/>
  <c r="E37" i="10" s="1"/>
  <c r="F37" i="10" s="1"/>
  <c r="K37" i="10" s="1"/>
  <c r="C14" i="10"/>
  <c r="E14" i="10" s="1"/>
  <c r="F14" i="10" s="1"/>
  <c r="K14" i="10" s="1"/>
  <c r="C22" i="10"/>
  <c r="E22" i="10" s="1"/>
  <c r="F22" i="10" s="1"/>
  <c r="K22" i="10" s="1"/>
  <c r="C30" i="10"/>
  <c r="E30" i="10" s="1"/>
  <c r="F30" i="10" s="1"/>
  <c r="K30" i="10" s="1"/>
  <c r="C38" i="10"/>
  <c r="E38" i="10" s="1"/>
  <c r="F38" i="10" s="1"/>
  <c r="K38" i="10" s="1"/>
  <c r="C15" i="10"/>
  <c r="E15" i="10" s="1"/>
  <c r="F15" i="10" s="1"/>
  <c r="K15" i="10" s="1"/>
  <c r="C23" i="10"/>
  <c r="E23" i="10" s="1"/>
  <c r="F23" i="10" s="1"/>
  <c r="K23" i="10" s="1"/>
  <c r="C31" i="10"/>
  <c r="E31" i="10" s="1"/>
  <c r="F31" i="10" s="1"/>
  <c r="K31" i="10" s="1"/>
  <c r="C39" i="10"/>
  <c r="E39" i="10" s="1"/>
  <c r="F39" i="10" s="1"/>
  <c r="K39" i="10" s="1"/>
  <c r="C16" i="10"/>
  <c r="E16" i="10" s="1"/>
  <c r="F16" i="10" s="1"/>
  <c r="K16" i="10" s="1"/>
  <c r="C24" i="10"/>
  <c r="E24" i="10" s="1"/>
  <c r="F24" i="10" s="1"/>
  <c r="K24" i="10" s="1"/>
  <c r="C32" i="10"/>
  <c r="E32" i="10" s="1"/>
  <c r="F32" i="10" s="1"/>
  <c r="K32" i="10" s="1"/>
  <c r="C40" i="10"/>
  <c r="E40" i="10" s="1"/>
  <c r="F40" i="10" s="1"/>
  <c r="K40" i="10" s="1"/>
  <c r="C17" i="10"/>
  <c r="E17" i="10" s="1"/>
  <c r="F17" i="10" s="1"/>
  <c r="K17" i="10" s="1"/>
  <c r="C25" i="10"/>
  <c r="E25" i="10" s="1"/>
  <c r="F25" i="10" s="1"/>
  <c r="K25" i="10" s="1"/>
  <c r="C33" i="10"/>
  <c r="E33" i="10" s="1"/>
  <c r="F33" i="10" s="1"/>
  <c r="K33" i="10" s="1"/>
  <c r="C41" i="10"/>
  <c r="E41" i="10" s="1"/>
  <c r="F41" i="10" s="1"/>
  <c r="K41" i="10" s="1"/>
  <c r="C18" i="10"/>
  <c r="E18" i="10" s="1"/>
  <c r="F18" i="10" s="1"/>
  <c r="K18" i="10" s="1"/>
  <c r="C26" i="10"/>
  <c r="E26" i="10" s="1"/>
  <c r="F26" i="10" s="1"/>
  <c r="K26" i="10" s="1"/>
  <c r="C34" i="10"/>
  <c r="E34" i="10" s="1"/>
  <c r="F34" i="10" s="1"/>
  <c r="K34" i="10" s="1"/>
  <c r="C35" i="10" l="1"/>
  <c r="E35" i="10" s="1"/>
  <c r="F35" i="10" s="1"/>
  <c r="K35" i="10" s="1"/>
  <c r="C20" i="10"/>
  <c r="E20" i="10" s="1"/>
  <c r="F20" i="10" s="1"/>
  <c r="K20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Abdelraouf Muhammad</author>
  </authors>
  <commentList>
    <comment ref="A20" authorId="0" shapeId="0" xr:uid="{00000000-0006-0000-0100-000001000000}">
      <text>
        <r>
          <rPr>
            <b/>
            <sz val="9"/>
            <color indexed="81"/>
            <rFont val="Tahoma"/>
          </rPr>
          <t>Abdelraouf Muhammad:
POINT_(2)</t>
        </r>
        <r>
          <rPr>
            <sz val="9"/>
            <color indexed="81"/>
            <rFont val="Tahoma"/>
          </rPr>
          <t xml:space="preserve">
A rough estimation can be made by multiplying the total
length of covered pipe by </t>
        </r>
        <r>
          <rPr>
            <b/>
            <sz val="9"/>
            <color indexed="81"/>
            <rFont val="Tahoma"/>
            <family val="2"/>
          </rPr>
          <t>30 Btu/h·ft</t>
        </r>
        <r>
          <rPr>
            <sz val="9"/>
            <color indexed="81"/>
            <rFont val="Tahoma"/>
          </rPr>
          <t xml:space="preserve"> or </t>
        </r>
        <r>
          <rPr>
            <b/>
            <sz val="9"/>
            <color indexed="81"/>
            <rFont val="Tahoma"/>
            <family val="2"/>
          </rPr>
          <t>uninsulated pipe by 60 Btu/h·ft.</t>
        </r>
        <r>
          <rPr>
            <sz val="9"/>
            <color indexed="81"/>
            <rFont val="Tahoma"/>
          </rPr>
          <t xml:space="preserve"> Table 2 gives actual heat losses in pipes at a service water temperature of 140°F and ambient temperature of 70°F. The values of 30 or 60 Btu/h·ft are only recommended for ease in calculation.</t>
        </r>
      </text>
    </comment>
    <comment ref="E20" authorId="0" shapeId="0" xr:uid="{00000000-0006-0000-0100-000002000000}">
      <text>
        <r>
          <rPr>
            <b/>
            <sz val="9"/>
            <color indexed="81"/>
            <rFont val="Tahoma"/>
          </rPr>
          <t>Abdelraouf Muhammad:</t>
        </r>
        <r>
          <rPr>
            <sz val="9"/>
            <color indexed="81"/>
            <rFont val="Tahoma"/>
          </rPr>
          <t xml:space="preserve">
ASHRAE APPLICATIONS
2019 IP - CH. (51):
SERVICE WATER HEATING_PAGE (51.6)</t>
        </r>
      </text>
    </comment>
    <comment ref="G3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Range between (10% - 30%) for equivelant length
and as per ASHRAE Fundamentals will be between (15% -20%)</t>
        </r>
      </text>
    </comment>
    <comment ref="G3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General Design Range:
</t>
        </r>
        <r>
          <rPr>
            <sz val="9"/>
            <color indexed="81"/>
            <rFont val="Tahoma"/>
            <family val="2"/>
          </rPr>
          <t>The general range of pipe friction loss used for design of hydronic systems is between 100 and 400 Pa/m of pipe. A value of 250 Pa/m represents the mean to which most systems are designed. Wider ranges may be used in specific designs if certain precautions are taken.</t>
        </r>
      </text>
    </comment>
    <comment ref="H32" authorId="0" shapeId="0" xr:uid="{00000000-0006-0000-0100-000005000000}">
      <text>
        <r>
          <rPr>
            <b/>
            <sz val="9"/>
            <color indexed="81"/>
            <rFont val="Tahoma"/>
          </rPr>
          <t>Abdelraouf Muhammad:</t>
        </r>
        <r>
          <rPr>
            <sz val="9"/>
            <color indexed="81"/>
            <rFont val="Tahoma"/>
          </rPr>
          <t xml:space="preserve">
Convert from Pa/m To Meter to get losses in (m)</t>
        </r>
      </text>
    </comment>
    <comment ref="I3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Chapter (22), Page (6), Section: (Range of Usage of Pressure Drop Charts)</t>
        </r>
      </text>
    </comment>
    <comment ref="G38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Range between (10% - 30%) for equivelant length
and as per ASHRAE Fundamentals will be between (15% -20%)</t>
        </r>
      </text>
    </comment>
    <comment ref="G40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General Design Range:
</t>
        </r>
        <r>
          <rPr>
            <sz val="9"/>
            <color indexed="81"/>
            <rFont val="Tahoma"/>
            <family val="2"/>
          </rPr>
          <t>The general range of pipe friction loss
used for design of hydronic systems is between 1 and 4 ft of water per 100 ft of pipe. A value of 2.5 ft/100 ft represents the mean to which most systems are designed. Wider ranges may be used in specific designs if certain precautions are taken.</t>
        </r>
      </text>
    </comment>
    <comment ref="H40" authorId="0" shapeId="0" xr:uid="{00000000-0006-0000-0100-000009000000}">
      <text>
        <r>
          <rPr>
            <b/>
            <sz val="9"/>
            <color indexed="81"/>
            <rFont val="Tahoma"/>
          </rPr>
          <t>Abdelraouf Muhammad:</t>
        </r>
        <r>
          <rPr>
            <sz val="9"/>
            <color indexed="81"/>
            <rFont val="Tahoma"/>
          </rPr>
          <t xml:space="preserve">
Divide 2.5 / 100 to get losses in (ft) </t>
        </r>
      </text>
    </comment>
    <comment ref="I40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Chapter (35), Page (5), Section: (Range of Usage of Pressure Drop Charts)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Abdelraouf Muhammad</author>
  </authors>
  <commentList>
    <comment ref="A3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Flow Calculation Steps as per all codes mentioned above and if you are using ASHRAE you can find All steps @ 2019 ASHRAE Handbook—HVAC Applications - CH_(51) - Pages_(51.6-51.7)
</t>
        </r>
        <r>
          <rPr>
            <b/>
            <sz val="9"/>
            <color indexed="81"/>
            <rFont val="Tahoma"/>
            <family val="2"/>
          </rPr>
          <t>Hot-Water Recirculation Loops and Return Piping:-</t>
        </r>
      </text>
    </comment>
    <comment ref="G4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Range between (10% - 30%) for equivelant length
and as per ASHRAE Fundamentals will be between (15% -20%)</t>
        </r>
      </text>
    </comment>
    <comment ref="G48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General Design Range:
</t>
        </r>
        <r>
          <rPr>
            <sz val="9"/>
            <color indexed="81"/>
            <rFont val="Tahoma"/>
            <family val="2"/>
          </rPr>
          <t>The general range of pipe friction loss used for design of hydronic systems is between 100 and 400 Pa/m of pipe. A value of 250 Pa/m represents the mean to which most systems are designed. Wider ranges may be used in specific designs if certain precautions are taken.</t>
        </r>
      </text>
    </comment>
    <comment ref="H48" authorId="0" shapeId="0" xr:uid="{00000000-0006-0000-0200-000004000000}">
      <text>
        <r>
          <rPr>
            <b/>
            <sz val="9"/>
            <color indexed="81"/>
            <rFont val="Tahoma"/>
          </rPr>
          <t>Abdelraouf Muhammad:</t>
        </r>
        <r>
          <rPr>
            <sz val="9"/>
            <color indexed="81"/>
            <rFont val="Tahoma"/>
          </rPr>
          <t xml:space="preserve">
Convert from Pa/m To Meter to get losses in (m)</t>
        </r>
      </text>
    </comment>
    <comment ref="I48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Chapter (22), Page (6), Section: (Range of Usage of Pressure Drop Charts)</t>
        </r>
      </text>
    </comment>
    <comment ref="G5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Range between (10% - 30%) for equivelant length
and as per ASHRAE Fundamentals will be between (15% -20%)</t>
        </r>
      </text>
    </comment>
    <comment ref="G56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General Design Range:
</t>
        </r>
        <r>
          <rPr>
            <sz val="9"/>
            <color indexed="81"/>
            <rFont val="Tahoma"/>
            <family val="2"/>
          </rPr>
          <t>The general range of pipe friction loss
used for design of hydronic systems is between 1 and 4 ft of water per 100 ft of pipe. A value of 2.5 ft/100 ft represents the mean to which most systems are designed. Wider ranges may be used in specific designs if certain precautions are taken.</t>
        </r>
      </text>
    </comment>
    <comment ref="H56" authorId="0" shapeId="0" xr:uid="{00000000-0006-0000-0200-000008000000}">
      <text>
        <r>
          <rPr>
            <b/>
            <sz val="9"/>
            <color indexed="81"/>
            <rFont val="Tahoma"/>
          </rPr>
          <t>Abdelraouf Muhammad:</t>
        </r>
        <r>
          <rPr>
            <sz val="9"/>
            <color indexed="81"/>
            <rFont val="Tahoma"/>
          </rPr>
          <t xml:space="preserve">
Divide 2.5 / 100 to get losses in (ft) </t>
        </r>
      </text>
    </comment>
    <comment ref="I56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Abdelraouf Muhammad:</t>
        </r>
        <r>
          <rPr>
            <sz val="9"/>
            <color indexed="81"/>
            <rFont val="Tahoma"/>
            <family val="2"/>
          </rPr>
          <t xml:space="preserve">
Chapter (35), Page (5), Section: (Range of Usage of Pressure Drop Charts)</t>
        </r>
      </text>
    </comment>
  </commentList>
</comments>
</file>

<file path=xl/sharedStrings.xml><?xml version="1.0" encoding="utf-8"?>
<sst xmlns="http://schemas.openxmlformats.org/spreadsheetml/2006/main" count="625" uniqueCount="395">
  <si>
    <t>m</t>
  </si>
  <si>
    <t>=</t>
  </si>
  <si>
    <t xml:space="preserve">= </t>
  </si>
  <si>
    <t>Temperature Drop</t>
  </si>
  <si>
    <t>BTU/GPM Relationship</t>
  </si>
  <si>
    <r>
      <t>10</t>
    </r>
    <r>
      <rPr>
        <sz val="11"/>
        <color theme="1"/>
        <rFont val="Calibri"/>
        <family val="2"/>
      </rPr>
      <t>˚</t>
    </r>
  </si>
  <si>
    <t>5000 B/Hr = 1 GPM</t>
  </si>
  <si>
    <r>
      <t>15</t>
    </r>
    <r>
      <rPr>
        <sz val="11"/>
        <color theme="1"/>
        <rFont val="Calibri"/>
        <family val="2"/>
      </rPr>
      <t>˚</t>
    </r>
  </si>
  <si>
    <t>7500 B/Hr = 1 GPM</t>
  </si>
  <si>
    <r>
      <t>20</t>
    </r>
    <r>
      <rPr>
        <sz val="11"/>
        <color theme="1"/>
        <rFont val="Calibri"/>
        <family val="2"/>
      </rPr>
      <t>˚</t>
    </r>
  </si>
  <si>
    <t>10000 B/Hr = 1 GPM</t>
  </si>
  <si>
    <r>
      <t>Consider 20</t>
    </r>
    <r>
      <rPr>
        <sz val="11"/>
        <color theme="1"/>
        <rFont val="Calibri"/>
        <family val="2"/>
      </rPr>
      <t>˚ Temperature drop as per ASPE handbook</t>
    </r>
  </si>
  <si>
    <t>Project Name</t>
  </si>
  <si>
    <t>Date</t>
  </si>
  <si>
    <t>Calculation</t>
  </si>
  <si>
    <t>Engineer</t>
  </si>
  <si>
    <t>References code: ASPE</t>
  </si>
  <si>
    <t>ft</t>
  </si>
  <si>
    <t>gpm</t>
  </si>
  <si>
    <t xml:space="preserve">Adding Safety Factor (20%) </t>
  </si>
  <si>
    <t xml:space="preserve">The approximate total length of all hot water supply and return piping </t>
  </si>
  <si>
    <t>Approximate total heat loss (insulated pipe)</t>
  </si>
  <si>
    <t>Total Heat Loss</t>
  </si>
  <si>
    <t>Flow Rate Calculations:</t>
  </si>
  <si>
    <t>Pressure Calculations:</t>
  </si>
  <si>
    <t>Required pump head</t>
  </si>
  <si>
    <t>The Heat loss through pipes according to  ASHRAE applications = 30 (btu/hr)/ft</t>
  </si>
  <si>
    <t>for insulated pipes</t>
  </si>
  <si>
    <t>The Heat loss through pipes according to  ASHRAE applications = 60 (btu/hr)/ft</t>
  </si>
  <si>
    <t>for uninsulated pipes</t>
  </si>
  <si>
    <t>HOT WATER CIRCULATION PUMP (PUMP NO.)</t>
  </si>
  <si>
    <t>HOT WATER SUPPLY PIPING</t>
  </si>
  <si>
    <t>HOT WATER RETURN PIPING</t>
  </si>
  <si>
    <t>Dr Steel-Engineered Plumbing Design II  - Table 17-1 Piping HeatLoss (Btu/hr. Per Lineal Ft. For 140°F. Water Temp and 70°F. Room Temp.)</t>
  </si>
  <si>
    <t>btu/hr</t>
  </si>
  <si>
    <t>FROM</t>
  </si>
  <si>
    <t>TO</t>
  </si>
  <si>
    <t>GPM</t>
  </si>
  <si>
    <t>BTU/HR</t>
  </si>
  <si>
    <t>NOMINAL PIPE SIZE (INCHES)</t>
  </si>
  <si>
    <t>INSULATED PIPE 0.5 in</t>
  </si>
  <si>
    <t>BARE PIPE</t>
  </si>
  <si>
    <t>SCHED. 40 STEEL</t>
  </si>
  <si>
    <t>BRASS, COPPER, T.P.</t>
  </si>
  <si>
    <t>TYPE (K) COPPER</t>
  </si>
  <si>
    <t>Conversion Data</t>
  </si>
  <si>
    <t>INPUT</t>
  </si>
  <si>
    <t>WHEREAS:</t>
  </si>
  <si>
    <r>
      <t xml:space="preserve">HEAT LOSSES OF HWR PIPING = </t>
    </r>
    <r>
      <rPr>
        <sz val="10"/>
        <color indexed="10"/>
        <rFont val="Arial"/>
        <family val="2"/>
      </rPr>
      <t>(2/3)</t>
    </r>
    <r>
      <rPr>
        <sz val="10"/>
        <rFont val="Arial"/>
        <family val="2"/>
      </rPr>
      <t xml:space="preserve"> FROM HEAT LOSSES OF HWS PIPING</t>
    </r>
  </si>
  <si>
    <t>as per ASPE code</t>
  </si>
  <si>
    <t>Bldg. Name and Bldg. Number</t>
  </si>
  <si>
    <t>Hot Water Circulation Pump</t>
  </si>
  <si>
    <t>As per ASHRAE APP handbook 2019 IP (chapter 51) page (51.7)</t>
  </si>
  <si>
    <t>Fig.1</t>
  </si>
  <si>
    <t xml:space="preserve">Selection: </t>
  </si>
  <si>
    <t>Power Calculations:</t>
  </si>
  <si>
    <t>Pump Efficiency</t>
  </si>
  <si>
    <t>Calculated Pump Power (Each) (kW)</t>
  </si>
  <si>
    <t xml:space="preserve">Density </t>
  </si>
  <si>
    <t xml:space="preserve">Gravitational Force </t>
  </si>
  <si>
    <t>m3/hr</t>
  </si>
  <si>
    <t>l/s</t>
  </si>
  <si>
    <t>KW</t>
  </si>
  <si>
    <t>from the total pipe length</t>
  </si>
  <si>
    <t>Total Length of return pipes &amp; Fittings (Approximate)</t>
  </si>
  <si>
    <t>Equivalent length of pipe fittings</t>
  </si>
  <si>
    <t>Friction loss</t>
  </si>
  <si>
    <t xml:space="preserve">Average head loss per meter </t>
  </si>
  <si>
    <t>from catalogs</t>
  </si>
  <si>
    <t>Pump flow rate</t>
  </si>
  <si>
    <t xml:space="preserve">Required Pump Flow Rate </t>
  </si>
  <si>
    <t>Required Pump Power (Each) (kW)</t>
  </si>
  <si>
    <t>5˚</t>
  </si>
  <si>
    <t>2500 B/Hr = 1 GPM</t>
  </si>
  <si>
    <t>The required flow rate formula is: GPM = BTU/h/(ΔT X 500)</t>
  </si>
  <si>
    <t>AT</t>
  </si>
  <si>
    <t>temp C˚</t>
  </si>
  <si>
    <t>10˚</t>
  </si>
  <si>
    <t>15˚</t>
  </si>
  <si>
    <t>20˚</t>
  </si>
  <si>
    <t>Length of farthest return pipe (Approximate)</t>
  </si>
  <si>
    <t>appartement house</t>
  </si>
  <si>
    <t>club</t>
  </si>
  <si>
    <t>hospital</t>
  </si>
  <si>
    <t>hotels</t>
  </si>
  <si>
    <t>GYM</t>
  </si>
  <si>
    <t>industerial</t>
  </si>
  <si>
    <t>office building</t>
  </si>
  <si>
    <t>private residence</t>
  </si>
  <si>
    <t>school</t>
  </si>
  <si>
    <t>YMCA</t>
  </si>
  <si>
    <t>private lav.</t>
  </si>
  <si>
    <t>public lav.</t>
  </si>
  <si>
    <t>bathtub</t>
  </si>
  <si>
    <t>dishwasher</t>
  </si>
  <si>
    <t>foot basin</t>
  </si>
  <si>
    <t xml:space="preserve">kitchen sink </t>
  </si>
  <si>
    <t>laundry</t>
  </si>
  <si>
    <t>pantry sink</t>
  </si>
  <si>
    <t>shower</t>
  </si>
  <si>
    <t xml:space="preserve">service sink </t>
  </si>
  <si>
    <t xml:space="preserve">hydrotherapentic shower </t>
  </si>
  <si>
    <t>hubbard bath</t>
  </si>
  <si>
    <t xml:space="preserve">leg bath </t>
  </si>
  <si>
    <t>arm bath</t>
  </si>
  <si>
    <t>sitz bath</t>
  </si>
  <si>
    <t>continuous flow bath</t>
  </si>
  <si>
    <t>circular wash sink</t>
  </si>
  <si>
    <t>semicircular wash sink</t>
  </si>
  <si>
    <t>DEMAND FACTOR</t>
  </si>
  <si>
    <t>STORAGE CAPACITY Factor</t>
  </si>
  <si>
    <t>Piping Heat Loss</t>
  </si>
  <si>
    <t>Nominal pipe size</t>
  </si>
  <si>
    <t xml:space="preserve">Insulated Pipe </t>
  </si>
  <si>
    <t>Bare Pipe</t>
  </si>
  <si>
    <t>Sch40</t>
  </si>
  <si>
    <t>brass</t>
  </si>
  <si>
    <t>k-copper</t>
  </si>
  <si>
    <t>1/2"</t>
  </si>
  <si>
    <t>3/4"</t>
  </si>
  <si>
    <t>1"</t>
  </si>
  <si>
    <t>1-1/4"</t>
  </si>
  <si>
    <t>1-/2"</t>
  </si>
  <si>
    <t>2"</t>
  </si>
  <si>
    <t>2-1/2"</t>
  </si>
  <si>
    <t>3"</t>
  </si>
  <si>
    <t>4"</t>
  </si>
  <si>
    <t>5"</t>
  </si>
  <si>
    <t>6"</t>
  </si>
  <si>
    <t>8"</t>
  </si>
  <si>
    <t>Insert Pipe Length &amp; Size For Supply Network as We Don`t Know the Return Pipe Size</t>
  </si>
  <si>
    <t>Pipe Diameter</t>
  </si>
  <si>
    <t>Length in meter</t>
  </si>
  <si>
    <t>Q loss</t>
  </si>
  <si>
    <t xml:space="preserve">Length of 1/2 " pipe </t>
  </si>
  <si>
    <t xml:space="preserve">Length of 3/4 " pipe </t>
  </si>
  <si>
    <t xml:space="preserve">Length of 1 " pipe </t>
  </si>
  <si>
    <t xml:space="preserve">Length of 1-1/4 " pipe </t>
  </si>
  <si>
    <t xml:space="preserve">Length of 1-1/2 " pipe </t>
  </si>
  <si>
    <t xml:space="preserve">Length of 2 " pipe </t>
  </si>
  <si>
    <t xml:space="preserve">Length of 2-1/2 " pipe </t>
  </si>
  <si>
    <t xml:space="preserve">Length of 3 " pipe </t>
  </si>
  <si>
    <t xml:space="preserve">Length of 4 " pipe </t>
  </si>
  <si>
    <t xml:space="preserve">Length of 5" pipe </t>
  </si>
  <si>
    <t xml:space="preserve">Length of 6 " pipe </t>
  </si>
  <si>
    <t xml:space="preserve">Length of 8 " pipe </t>
  </si>
  <si>
    <t>Total Heat loss From Supply Pipes</t>
  </si>
  <si>
    <t>Assume the heat loss from return pipes equal to 2/3 heat loss from supply pipes</t>
  </si>
  <si>
    <t>Q loss in all system        =</t>
  </si>
  <si>
    <t>Btu/Hr</t>
  </si>
  <si>
    <t>for every 10,000 btu/ hr ------------------------------&gt;      1 GPM of Hot water</t>
  </si>
  <si>
    <t>GPM Required                =</t>
  </si>
  <si>
    <t>Q loss HWR</t>
  </si>
  <si>
    <t>As per ASHRAE APP 2019 (IP):---</t>
  </si>
  <si>
    <r>
      <t>at 20</t>
    </r>
    <r>
      <rPr>
        <sz val="10"/>
        <color theme="1"/>
        <rFont val="Calibri"/>
        <family val="2"/>
      </rPr>
      <t>° F Temp. Drop</t>
    </r>
  </si>
  <si>
    <t>Temperature Drop (ΔT˚ F)</t>
  </si>
  <si>
    <t>whereas (ΔT˚): =</t>
  </si>
  <si>
    <t>PIPE SIZE (IN)</t>
  </si>
  <si>
    <t>(GPM) RANGE</t>
  </si>
  <si>
    <t>Pressure drop = 2ft/100ft</t>
  </si>
  <si>
    <t>0.8 to 1.8</t>
  </si>
  <si>
    <t>1ft/100t</t>
  </si>
  <si>
    <t>2ft/100t</t>
  </si>
  <si>
    <t>3ft/100t</t>
  </si>
  <si>
    <t>4ft/100t</t>
  </si>
  <si>
    <t>1.8 to 6.6</t>
  </si>
  <si>
    <t>3.6 to 11</t>
  </si>
  <si>
    <t>7.2 to 18</t>
  </si>
  <si>
    <t>12 to 25</t>
  </si>
  <si>
    <t>22 to 42</t>
  </si>
  <si>
    <t>35 to 75</t>
  </si>
  <si>
    <t>62 to 135</t>
  </si>
  <si>
    <t>135 to 280</t>
  </si>
  <si>
    <t>240 to 490</t>
  </si>
  <si>
    <t>380 to 800</t>
  </si>
  <si>
    <t>800 to 1700</t>
  </si>
  <si>
    <t>1500 to 3100</t>
  </si>
  <si>
    <t>2400 to 5000</t>
  </si>
  <si>
    <t>3000 to 6400</t>
  </si>
  <si>
    <t>4400 to 9000</t>
  </si>
  <si>
    <t>6000 to 12500</t>
  </si>
  <si>
    <t>8000 to 17000</t>
  </si>
  <si>
    <t>values can be selected from tables of pressure drops - ASPE</t>
  </si>
  <si>
    <t>Insert Pipe Length &amp; Size For Supply Network as We Don`t Know the Return Pipe Size:</t>
  </si>
  <si>
    <r>
      <t>Consider 20</t>
    </r>
    <r>
      <rPr>
        <sz val="11"/>
        <color theme="1"/>
        <rFont val="Calibri"/>
        <family val="2"/>
      </rPr>
      <t>˚ Temperature drop as per ASHRAE handbook</t>
    </r>
  </si>
  <si>
    <t>Consider 20˚ Temperature drop as per ASHRAE handbook</t>
  </si>
  <si>
    <t>OPT#1</t>
  </si>
  <si>
    <t>OPT#2</t>
  </si>
  <si>
    <t>pipe size with friction (1 - 4) ft/100ft at 60° F &amp; sch. 40 brass, copper and plastic</t>
  </si>
  <si>
    <t>PIPE SIZE (INCH)</t>
  </si>
  <si>
    <t>Q - RANGE (GPM)</t>
  </si>
  <si>
    <t>friction losses values / unit length</t>
  </si>
  <si>
    <t>For brass or copper pipe (Equation 11-24):</t>
  </si>
  <si>
    <t>For galvanized iron or steel pipe (Equation 11-26):</t>
  </si>
  <si>
    <t>where q =gpm</t>
  </si>
  <si>
    <t>d = actual internal diameter of pipe, in.</t>
  </si>
  <si>
    <t>h = total head available for friction loss, ft</t>
  </si>
  <si>
    <t>L = equivalent length of run, ft</t>
  </si>
  <si>
    <t>q = 40.1 d^2.5*(h/l)^0.5</t>
  </si>
  <si>
    <t>q = 28.3 d^2.5*(h/l)^0.5</t>
  </si>
  <si>
    <t>as per ASPE alfreed steele</t>
  </si>
  <si>
    <t>Pipe Size (inch)</t>
  </si>
  <si>
    <t>Length in (meter)</t>
  </si>
  <si>
    <t>Q loss (btu/hr)</t>
  </si>
  <si>
    <t>Q loss HWR (btu/hr)</t>
  </si>
  <si>
    <t>TEMP DROP C˚</t>
  </si>
  <si>
    <t>whereas (ΔT˚ F): =</t>
  </si>
  <si>
    <t>CONTENTS &gt;&gt;</t>
  </si>
  <si>
    <t>WATER SUPPLY SYSTEMS</t>
  </si>
  <si>
    <t>&amp;</t>
  </si>
  <si>
    <t>DRAINAGE SYSTEMS</t>
  </si>
  <si>
    <t>WATER SUPPLY SYSTEMS &gt;&gt;</t>
  </si>
  <si>
    <t>1- Cold / Hot water supply pipe sizing</t>
  </si>
  <si>
    <t>2- Domestic water Booster pump design</t>
  </si>
  <si>
    <t>3- Domesting water Transfer pump design</t>
  </si>
  <si>
    <t>4- Domesting hot water Circulation pump design</t>
  </si>
  <si>
    <t>5- Eletrical Water Heater sizing</t>
  </si>
  <si>
    <t xml:space="preserve">6- Domestic water Tank sizing </t>
  </si>
  <si>
    <t>DRAINAGE SYSTEMS &gt;&gt;</t>
  </si>
  <si>
    <t>1- Drainage and Vent pipe sizing</t>
  </si>
  <si>
    <t>2- Rain water pipe sizing</t>
  </si>
  <si>
    <t>3- Submersible pump and Sump pit design</t>
  </si>
  <si>
    <t>4- Septic Tank sizing</t>
  </si>
  <si>
    <t>5- Grease Interceptor sizing</t>
  </si>
  <si>
    <t>6- Sump pump discharge pipe - Reversed Pressure Drop (RPD) calculation</t>
  </si>
  <si>
    <t>CONSULTING &gt;&gt;</t>
  </si>
  <si>
    <t>MEP_Design Work</t>
  </si>
  <si>
    <t>Plumbing Calculations Sheets</t>
  </si>
  <si>
    <t>Total Length</t>
  </si>
  <si>
    <t>Feet</t>
  </si>
  <si>
    <t>Meter</t>
  </si>
  <si>
    <t>From the total pipe length</t>
  </si>
  <si>
    <t>Pa/m</t>
  </si>
  <si>
    <t xml:space="preserve">As per 2009 ASHRAE Handbook Fundamentals (SI) </t>
  </si>
  <si>
    <r>
      <rPr>
        <sz val="11"/>
        <color rgb="FFFF0000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Pump selection catalogues</t>
    </r>
  </si>
  <si>
    <t>ft/100ft</t>
  </si>
  <si>
    <t>As per 2001 ASHRAE Fundamentals Handbook (IP)</t>
  </si>
  <si>
    <t>From Catalogs</t>
  </si>
  <si>
    <t>Assume the heat loss from return pipes equal to (2/3) heat loss from supply pipes as per ASPE &amp; ASHRAE codes</t>
  </si>
  <si>
    <t>SEGMENTS</t>
  </si>
  <si>
    <t>Q
(gpm)</t>
  </si>
  <si>
    <t>Q
(l/s)</t>
  </si>
  <si>
    <t xml:space="preserve">V (m/S) </t>
  </si>
  <si>
    <t>Ø int.
(mm)</t>
  </si>
  <si>
    <t>Ø ext.
(mm)</t>
  </si>
  <si>
    <t>Ø nominal.
(mm)</t>
  </si>
  <si>
    <t xml:space="preserve">Ø nominal.
(in) </t>
  </si>
  <si>
    <t xml:space="preserve">V (ft/S) </t>
  </si>
  <si>
    <t>gallon/minute</t>
  </si>
  <si>
    <t>liter/second</t>
  </si>
  <si>
    <t>meter/second</t>
  </si>
  <si>
    <t>millimeter</t>
  </si>
  <si>
    <t>inch</t>
  </si>
  <si>
    <t>feet/second</t>
  </si>
  <si>
    <t>HWR QTY
PERCENTAGE</t>
  </si>
  <si>
    <t>%</t>
  </si>
  <si>
    <t xml:space="preserve">PIPE CONVERSION CHART </t>
  </si>
  <si>
    <t>Sl No.</t>
  </si>
  <si>
    <t xml:space="preserve">Steel pipe </t>
  </si>
  <si>
    <t>PPR pipe ( Romafaser SDR 7.4/S 3.2)</t>
  </si>
  <si>
    <t>Pipe size inch</t>
  </si>
  <si>
    <t>Plastic Adsani ID</t>
  </si>
  <si>
    <t>PB  ID</t>
  </si>
  <si>
    <t>PPR  ID</t>
  </si>
  <si>
    <t>CU</t>
  </si>
  <si>
    <t xml:space="preserve">Pipe size </t>
  </si>
  <si>
    <t xml:space="preserve">ID </t>
  </si>
  <si>
    <t>OD</t>
  </si>
  <si>
    <t xml:space="preserve">cu </t>
  </si>
  <si>
    <t>PREF.</t>
  </si>
  <si>
    <t>FIXTURES</t>
  </si>
  <si>
    <t>Weight in Fixture Units</t>
  </si>
  <si>
    <t>Quantity</t>
  </si>
  <si>
    <t>Cold</t>
  </si>
  <si>
    <t>Hot</t>
  </si>
  <si>
    <t>Total</t>
  </si>
  <si>
    <t>Water Closet, Private</t>
  </si>
  <si>
    <t>Water Closet, Public</t>
  </si>
  <si>
    <t>Wash Basin, Private</t>
  </si>
  <si>
    <t>Wash Basin, Public</t>
  </si>
  <si>
    <t>Service Sink</t>
  </si>
  <si>
    <t>Pantry Sink, PB</t>
  </si>
  <si>
    <t>Mob Sink</t>
  </si>
  <si>
    <t>Ablution, Public</t>
  </si>
  <si>
    <t>Hose Bibe</t>
  </si>
  <si>
    <t>Hose Bibe each additional</t>
  </si>
  <si>
    <t>From IPC Table  E103.3(2)</t>
  </si>
  <si>
    <t>FLUSH TANK SYSTEM</t>
  </si>
  <si>
    <t>Fixture</t>
  </si>
  <si>
    <t>CW</t>
  </si>
  <si>
    <t>HW</t>
  </si>
  <si>
    <t>WS</t>
  </si>
  <si>
    <t>Type</t>
  </si>
  <si>
    <t>FU</t>
  </si>
  <si>
    <t>Private Lavatory</t>
  </si>
  <si>
    <t>Public Lavatory</t>
  </si>
  <si>
    <r>
      <rPr>
        <sz val="8"/>
        <color rgb="FF232021"/>
        <rFont val="Calibri"/>
        <family val="2"/>
        <scheme val="minor"/>
      </rPr>
      <t>FIXTURE</t>
    </r>
  </si>
  <si>
    <r>
      <rPr>
        <sz val="8"/>
        <color rgb="FF232021"/>
        <rFont val="Calibri"/>
        <family val="2"/>
        <scheme val="minor"/>
      </rPr>
      <t>MINIMUM  PIPE  SIZE
(inch)</t>
    </r>
  </si>
  <si>
    <t>MINIMUM  PIPE  SIZE
(mm)</t>
  </si>
  <si>
    <t xml:space="preserve"> Water Closet (Flush T)</t>
  </si>
  <si>
    <r>
      <rPr>
        <sz val="8"/>
        <color rgb="FF232021"/>
        <rFont val="Calibri"/>
        <family val="2"/>
        <scheme val="minor"/>
      </rPr>
      <t>Bathtubs</t>
    </r>
    <r>
      <rPr>
        <vertAlign val="superscript"/>
        <sz val="8"/>
        <color rgb="FF232021"/>
        <rFont val="Calibri"/>
        <family val="2"/>
        <scheme val="minor"/>
      </rPr>
      <t>a</t>
    </r>
    <r>
      <rPr>
        <sz val="8"/>
        <color rgb="FF232021"/>
        <rFont val="Calibri"/>
        <family val="2"/>
        <scheme val="minor"/>
      </rPr>
      <t xml:space="preserve">  (60" x 32" and smaller)</t>
    </r>
  </si>
  <si>
    <r>
      <rPr>
        <i/>
        <sz val="9"/>
        <color rgb="FF232021"/>
        <rFont val="Calibri"/>
        <family val="2"/>
        <scheme val="minor"/>
      </rPr>
      <t>1/</t>
    </r>
    <r>
      <rPr>
        <i/>
        <vertAlign val="subscript"/>
        <sz val="9"/>
        <color rgb="FF232021"/>
        <rFont val="Calibri"/>
        <family val="2"/>
        <scheme val="minor"/>
      </rPr>
      <t>2</t>
    </r>
  </si>
  <si>
    <t>Private Shower</t>
  </si>
  <si>
    <r>
      <rPr>
        <sz val="8"/>
        <color rgb="FF232021"/>
        <rFont val="Calibri"/>
        <family val="2"/>
        <scheme val="minor"/>
      </rPr>
      <t>Bathtubs</t>
    </r>
    <r>
      <rPr>
        <vertAlign val="superscript"/>
        <sz val="8"/>
        <color rgb="FF232021"/>
        <rFont val="Calibri"/>
        <family val="2"/>
        <scheme val="minor"/>
      </rPr>
      <t>a</t>
    </r>
    <r>
      <rPr>
        <sz val="8"/>
        <color rgb="FF232021"/>
        <rFont val="Calibri"/>
        <family val="2"/>
        <scheme val="minor"/>
      </rPr>
      <t xml:space="preserve">  (larger than 60" x 32")</t>
    </r>
  </si>
  <si>
    <t>Public Shower</t>
  </si>
  <si>
    <r>
      <rPr>
        <sz val="8"/>
        <color rgb="FF232021"/>
        <rFont val="Calibri"/>
        <family val="2"/>
        <scheme val="minor"/>
      </rPr>
      <t>Bidet</t>
    </r>
  </si>
  <si>
    <r>
      <rPr>
        <i/>
        <sz val="9"/>
        <color rgb="FF232021"/>
        <rFont val="Calibri"/>
        <family val="2"/>
        <scheme val="minor"/>
      </rPr>
      <t>3/</t>
    </r>
    <r>
      <rPr>
        <i/>
        <vertAlign val="subscript"/>
        <sz val="9"/>
        <color rgb="FF232021"/>
        <rFont val="Calibri"/>
        <family val="2"/>
        <scheme val="minor"/>
      </rPr>
      <t>8</t>
    </r>
  </si>
  <si>
    <t>Lab/Service Sink</t>
  </si>
  <si>
    <r>
      <rPr>
        <sz val="8"/>
        <color rgb="FF232021"/>
        <rFont val="Calibri"/>
        <family val="2"/>
        <scheme val="minor"/>
      </rPr>
      <t>Combination sink and tray</t>
    </r>
  </si>
  <si>
    <t>Hose Bibb</t>
  </si>
  <si>
    <r>
      <rPr>
        <sz val="8"/>
        <color rgb="FF232021"/>
        <rFont val="Calibri"/>
        <family val="2"/>
        <scheme val="minor"/>
      </rPr>
      <t>Dishwasher, domestic</t>
    </r>
    <r>
      <rPr>
        <vertAlign val="superscript"/>
        <sz val="5"/>
        <color rgb="FF232021"/>
        <rFont val="Calibri"/>
        <family val="2"/>
        <scheme val="minor"/>
      </rPr>
      <t>a</t>
    </r>
  </si>
  <si>
    <t>Hose Bibb (each additional)</t>
  </si>
  <si>
    <r>
      <rPr>
        <sz val="8"/>
        <color rgb="FF232021"/>
        <rFont val="Calibri"/>
        <family val="2"/>
        <scheme val="minor"/>
      </rPr>
      <t>Drinking fountain</t>
    </r>
  </si>
  <si>
    <t>Kitchen Sink (PRV.)</t>
  </si>
  <si>
    <t>ASPE &amp; IPC</t>
  </si>
  <si>
    <r>
      <rPr>
        <sz val="8"/>
        <color rgb="FF232021"/>
        <rFont val="Calibri"/>
        <family val="2"/>
        <scheme val="minor"/>
      </rPr>
      <t>Hose bibbs</t>
    </r>
  </si>
  <si>
    <t>Pantry Sink</t>
  </si>
  <si>
    <t>Kitchen Sink (PUB.)</t>
  </si>
  <si>
    <r>
      <rPr>
        <sz val="8"/>
        <color rgb="FF232021"/>
        <rFont val="Calibri"/>
        <family val="2"/>
        <scheme val="minor"/>
      </rPr>
      <t>Kitchen sink</t>
    </r>
    <r>
      <rPr>
        <vertAlign val="superscript"/>
        <sz val="8"/>
        <color rgb="FF201C1D"/>
        <rFont val="Calibri"/>
        <family val="2"/>
        <scheme val="minor"/>
      </rPr>
      <t>a</t>
    </r>
  </si>
  <si>
    <t>Janitor</t>
  </si>
  <si>
    <r>
      <rPr>
        <sz val="8"/>
        <color rgb="FF232021"/>
        <rFont val="Calibri"/>
        <family val="2"/>
        <scheme val="minor"/>
      </rPr>
      <t>Laundry,  1, 2 or 3 compartments</t>
    </r>
    <r>
      <rPr>
        <vertAlign val="superscript"/>
        <sz val="8"/>
        <color rgb="FF201C1D"/>
        <rFont val="Calibri"/>
        <family val="2"/>
        <scheme val="minor"/>
      </rPr>
      <t>a</t>
    </r>
  </si>
  <si>
    <r>
      <rPr>
        <sz val="8"/>
        <color rgb="FF232021"/>
        <rFont val="Calibri"/>
        <family val="2"/>
        <scheme val="minor"/>
      </rPr>
      <t>Lavatory</t>
    </r>
  </si>
  <si>
    <t>ABBLIUTION</t>
  </si>
  <si>
    <r>
      <rPr>
        <sz val="8"/>
        <color rgb="FF232021"/>
        <rFont val="Calibri"/>
        <family val="2"/>
        <scheme val="minor"/>
      </rPr>
      <t>Shower, single head</t>
    </r>
    <r>
      <rPr>
        <vertAlign val="superscript"/>
        <sz val="8"/>
        <color rgb="FF232021"/>
        <rFont val="Calibri"/>
        <family val="2"/>
        <scheme val="minor"/>
      </rPr>
      <t>a</t>
    </r>
  </si>
  <si>
    <t>Mob Sink, PR</t>
  </si>
  <si>
    <t>UPC</t>
  </si>
  <si>
    <r>
      <rPr>
        <sz val="8"/>
        <color rgb="FF232021"/>
        <rFont val="Calibri"/>
        <family val="2"/>
        <scheme val="minor"/>
      </rPr>
      <t>Sinks, flushing rim</t>
    </r>
  </si>
  <si>
    <r>
      <rPr>
        <i/>
        <sz val="9"/>
        <color rgb="FF232021"/>
        <rFont val="Calibri"/>
        <family val="2"/>
        <scheme val="minor"/>
      </rPr>
      <t>3/</t>
    </r>
    <r>
      <rPr>
        <i/>
        <vertAlign val="subscript"/>
        <sz val="9"/>
        <color rgb="FF232021"/>
        <rFont val="Calibri"/>
        <family val="2"/>
        <scheme val="minor"/>
      </rPr>
      <t>4</t>
    </r>
  </si>
  <si>
    <t>Mob Sink, PB</t>
  </si>
  <si>
    <r>
      <rPr>
        <sz val="8"/>
        <color rgb="FF232021"/>
        <rFont val="Calibri"/>
        <family val="2"/>
        <scheme val="minor"/>
      </rPr>
      <t>Sinks, service</t>
    </r>
  </si>
  <si>
    <r>
      <rPr>
        <sz val="8"/>
        <color rgb="FF232021"/>
        <rFont val="Calibri"/>
        <family val="2"/>
        <scheme val="minor"/>
      </rPr>
      <t>Urinal</t>
    </r>
    <r>
      <rPr>
        <sz val="8"/>
        <color rgb="FF201C1D"/>
        <rFont val="Calibri"/>
        <family val="2"/>
        <scheme val="minor"/>
      </rPr>
      <t xml:space="preserve">, </t>
    </r>
    <r>
      <rPr>
        <sz val="8"/>
        <color rgb="FF232021"/>
        <rFont val="Calibri"/>
        <family val="2"/>
        <scheme val="minor"/>
      </rPr>
      <t>flush tank</t>
    </r>
  </si>
  <si>
    <t>Sink - Pantry 1.5</t>
  </si>
  <si>
    <t>flat</t>
  </si>
  <si>
    <t>ASPE</t>
  </si>
  <si>
    <r>
      <rPr>
        <sz val="8"/>
        <color rgb="FF232021"/>
        <rFont val="Calibri"/>
        <family val="2"/>
        <scheme val="minor"/>
      </rPr>
      <t>Urinal, flush valve</t>
    </r>
  </si>
  <si>
    <t>Sink - Pantry 2.5</t>
  </si>
  <si>
    <t>restaurant</t>
  </si>
  <si>
    <r>
      <rPr>
        <sz val="8"/>
        <color rgb="FF232021"/>
        <rFont val="Calibri"/>
        <family val="2"/>
        <scheme val="minor"/>
      </rPr>
      <t>Wall hydrant</t>
    </r>
  </si>
  <si>
    <r>
      <rPr>
        <sz val="8"/>
        <color rgb="FF232021"/>
        <rFont val="Calibri"/>
        <family val="2"/>
        <scheme val="minor"/>
      </rPr>
      <t>Water closet, flush tank</t>
    </r>
  </si>
  <si>
    <t>Drinking fountain-Dispenser ICE</t>
  </si>
  <si>
    <r>
      <rPr>
        <sz val="8"/>
        <color rgb="FF232021"/>
        <rFont val="Calibri"/>
        <family val="2"/>
        <scheme val="minor"/>
      </rPr>
      <t>Water closet, flush valve</t>
    </r>
  </si>
  <si>
    <t>Hand spray</t>
  </si>
  <si>
    <r>
      <rPr>
        <sz val="8"/>
        <color rgb="FF232021"/>
        <rFont val="Calibri"/>
        <family val="2"/>
        <scheme val="minor"/>
      </rPr>
      <t>Water closet, flushometer tank</t>
    </r>
  </si>
  <si>
    <r>
      <rPr>
        <sz val="8"/>
        <color rgb="FF232021"/>
        <rFont val="Calibri"/>
        <family val="2"/>
        <scheme val="minor"/>
      </rPr>
      <t>Water closet, one piece</t>
    </r>
    <r>
      <rPr>
        <vertAlign val="superscript"/>
        <sz val="5"/>
        <color rgb="FF201C1D"/>
        <rFont val="Calibri"/>
        <family val="2"/>
        <scheme val="minor"/>
      </rPr>
      <t>a</t>
    </r>
  </si>
  <si>
    <r>
      <rPr>
        <sz val="7"/>
        <color rgb="FF232021"/>
        <rFont val="Arial"/>
        <family val="2"/>
      </rPr>
      <t>TABLE</t>
    </r>
    <r>
      <rPr>
        <sz val="7"/>
        <color rgb="FF232021"/>
        <rFont val="Times New Roman"/>
        <family val="1"/>
      </rPr>
      <t xml:space="preserve">  </t>
    </r>
    <r>
      <rPr>
        <sz val="7"/>
        <color rgb="FF232021"/>
        <rFont val="Arial"/>
        <family val="2"/>
      </rPr>
      <t xml:space="preserve">E103.3(5)
</t>
    </r>
    <r>
      <rPr>
        <sz val="7"/>
        <color rgb="FF232021"/>
        <rFont val="Arial"/>
        <family val="2"/>
      </rPr>
      <t>ALLOWANCE</t>
    </r>
    <r>
      <rPr>
        <sz val="7"/>
        <color rgb="FF232021"/>
        <rFont val="Times New Roman"/>
        <family val="1"/>
      </rPr>
      <t xml:space="preserve">  </t>
    </r>
    <r>
      <rPr>
        <sz val="7"/>
        <color rgb="FF232021"/>
        <rFont val="Arial"/>
        <family val="2"/>
      </rPr>
      <t>IN</t>
    </r>
    <r>
      <rPr>
        <sz val="7"/>
        <color rgb="FF232021"/>
        <rFont val="Times New Roman"/>
        <family val="1"/>
      </rPr>
      <t xml:space="preserve">  </t>
    </r>
    <r>
      <rPr>
        <sz val="7"/>
        <color rgb="FF232021"/>
        <rFont val="Arial"/>
        <family val="2"/>
      </rPr>
      <t>EQUIVALENT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LENGTHS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OF</t>
    </r>
    <r>
      <rPr>
        <sz val="7"/>
        <color rgb="FF232021"/>
        <rFont val="Times New Roman"/>
        <family val="1"/>
      </rPr>
      <t xml:space="preserve">  </t>
    </r>
    <r>
      <rPr>
        <sz val="7"/>
        <color rgb="FF232021"/>
        <rFont val="Arial"/>
        <family val="2"/>
      </rPr>
      <t>PIPE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FOR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FRICTION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LOSS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IN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VALVES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AND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THREADED</t>
    </r>
    <r>
      <rPr>
        <sz val="7"/>
        <color rgb="FF232021"/>
        <rFont val="Times New Roman"/>
        <family val="1"/>
      </rPr>
      <t xml:space="preserve">  </t>
    </r>
    <r>
      <rPr>
        <sz val="7"/>
        <color rgb="FF232021"/>
        <rFont val="Arial"/>
        <family val="2"/>
      </rPr>
      <t>FITTINGS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(feet)</t>
    </r>
  </si>
  <si>
    <r>
      <rPr>
        <sz val="6"/>
        <color rgb="FF232021"/>
        <rFont val="Arial"/>
        <family val="2"/>
      </rPr>
      <t>FITTING</t>
    </r>
    <r>
      <rPr>
        <sz val="6"/>
        <color rgb="FF232021"/>
        <rFont val="Times New Roman"/>
        <family val="1"/>
      </rPr>
      <t xml:space="preserve"> </t>
    </r>
    <r>
      <rPr>
        <sz val="6"/>
        <color rgb="FF232021"/>
        <rFont val="Arial"/>
        <family val="2"/>
      </rPr>
      <t>OR</t>
    </r>
    <r>
      <rPr>
        <sz val="6"/>
        <color rgb="FF232021"/>
        <rFont val="Times New Roman"/>
        <family val="1"/>
      </rPr>
      <t xml:space="preserve"> </t>
    </r>
    <r>
      <rPr>
        <sz val="6"/>
        <color rgb="FF232021"/>
        <rFont val="Arial"/>
        <family val="2"/>
      </rPr>
      <t>VALVE</t>
    </r>
  </si>
  <si>
    <r>
      <rPr>
        <sz val="6"/>
        <color rgb="FF232021"/>
        <rFont val="Arial"/>
        <family val="2"/>
      </rPr>
      <t>PIPE</t>
    </r>
    <r>
      <rPr>
        <sz val="6"/>
        <color rgb="FF232021"/>
        <rFont val="Times New Roman"/>
        <family val="1"/>
      </rPr>
      <t xml:space="preserve">  </t>
    </r>
    <r>
      <rPr>
        <sz val="6"/>
        <color rgb="FF232021"/>
        <rFont val="Arial"/>
        <family val="2"/>
      </rPr>
      <t>SIZE</t>
    </r>
    <r>
      <rPr>
        <sz val="6"/>
        <color rgb="FF232021"/>
        <rFont val="Times New Roman"/>
        <family val="1"/>
      </rPr>
      <t xml:space="preserve"> </t>
    </r>
    <r>
      <rPr>
        <sz val="6"/>
        <color rgb="FF232021"/>
        <rFont val="Arial"/>
        <family val="2"/>
      </rPr>
      <t>(inches)</t>
    </r>
  </si>
  <si>
    <r>
      <rPr>
        <sz val="4.5"/>
        <color rgb="FF232021"/>
        <rFont val="Times New Roman"/>
        <family val="1"/>
      </rPr>
      <t>1/</t>
    </r>
    <r>
      <rPr>
        <vertAlign val="subscript"/>
        <sz val="4.5"/>
        <color rgb="FF232021"/>
        <rFont val="Times New Roman"/>
        <family val="1"/>
      </rPr>
      <t>2</t>
    </r>
  </si>
  <si>
    <r>
      <rPr>
        <sz val="4.5"/>
        <color rgb="FF232021"/>
        <rFont val="Times New Roman"/>
        <family val="1"/>
      </rPr>
      <t xml:space="preserve">3/
</t>
    </r>
    <r>
      <rPr>
        <sz val="4.5"/>
        <color rgb="FF232021"/>
        <rFont val="Times New Roman"/>
        <family val="1"/>
      </rPr>
      <t>4</t>
    </r>
  </si>
  <si>
    <r>
      <rPr>
        <sz val="6"/>
        <color rgb="FF232021"/>
        <rFont val="Arial"/>
        <family val="2"/>
      </rPr>
      <t>1</t>
    </r>
    <r>
      <rPr>
        <vertAlign val="superscript"/>
        <sz val="6"/>
        <color rgb="FF232021"/>
        <rFont val="Times New Roman"/>
        <family val="1"/>
      </rPr>
      <t>1</t>
    </r>
    <r>
      <rPr>
        <sz val="4.5"/>
        <color rgb="FF232021"/>
        <rFont val="Times New Roman"/>
        <family val="1"/>
      </rPr>
      <t>/ 4</t>
    </r>
  </si>
  <si>
    <r>
      <rPr>
        <sz val="6"/>
        <color rgb="FF232021"/>
        <rFont val="Arial"/>
        <family val="2"/>
      </rPr>
      <t>1</t>
    </r>
    <r>
      <rPr>
        <vertAlign val="superscript"/>
        <sz val="6"/>
        <color rgb="FF232021"/>
        <rFont val="Times New Roman"/>
        <family val="1"/>
      </rPr>
      <t>1</t>
    </r>
    <r>
      <rPr>
        <sz val="4.5"/>
        <color rgb="FF232021"/>
        <rFont val="Times New Roman"/>
        <family val="1"/>
      </rPr>
      <t>/ 2</t>
    </r>
  </si>
  <si>
    <r>
      <rPr>
        <sz val="6"/>
        <color rgb="FF232021"/>
        <rFont val="Arial"/>
        <family val="2"/>
      </rPr>
      <t>2</t>
    </r>
    <r>
      <rPr>
        <vertAlign val="superscript"/>
        <sz val="6"/>
        <color rgb="FF232021"/>
        <rFont val="Times New Roman"/>
        <family val="1"/>
      </rPr>
      <t>1</t>
    </r>
    <r>
      <rPr>
        <sz val="4.5"/>
        <color rgb="FF232021"/>
        <rFont val="Times New Roman"/>
        <family val="1"/>
      </rPr>
      <t>/ 2</t>
    </r>
  </si>
  <si>
    <r>
      <rPr>
        <sz val="8"/>
        <color rgb="FF232021"/>
        <rFont val="Times New Roman"/>
        <family val="1"/>
      </rPr>
      <t>45-degree elbow</t>
    </r>
  </si>
  <si>
    <r>
      <rPr>
        <sz val="8"/>
        <color rgb="FF232021"/>
        <rFont val="Times New Roman"/>
        <family val="1"/>
      </rPr>
      <t>90-degree elbow</t>
    </r>
  </si>
  <si>
    <r>
      <rPr>
        <sz val="8"/>
        <color rgb="FF232021"/>
        <rFont val="Times New Roman"/>
        <family val="1"/>
      </rPr>
      <t>Tee, run</t>
    </r>
  </si>
  <si>
    <r>
      <rPr>
        <sz val="8"/>
        <color rgb="FF232021"/>
        <rFont val="Times New Roman"/>
        <family val="1"/>
      </rPr>
      <t>Tee, branch</t>
    </r>
  </si>
  <si>
    <r>
      <rPr>
        <sz val="8"/>
        <color rgb="FF232021"/>
        <rFont val="Times New Roman"/>
        <family val="1"/>
      </rPr>
      <t>Gate valve</t>
    </r>
  </si>
  <si>
    <r>
      <rPr>
        <sz val="8"/>
        <color rgb="FF232021"/>
        <rFont val="Times New Roman"/>
        <family val="1"/>
      </rPr>
      <t>Balancing valve</t>
    </r>
  </si>
  <si>
    <r>
      <rPr>
        <sz val="8"/>
        <color rgb="FF232021"/>
        <rFont val="Times New Roman"/>
        <family val="1"/>
      </rPr>
      <t>Plug-type cock</t>
    </r>
  </si>
  <si>
    <r>
      <rPr>
        <sz val="8"/>
        <color rgb="FF232021"/>
        <rFont val="Times New Roman"/>
        <family val="1"/>
      </rPr>
      <t>Check valve, swing</t>
    </r>
  </si>
  <si>
    <r>
      <rPr>
        <sz val="8"/>
        <color rgb="FF232021"/>
        <rFont val="Times New Roman"/>
        <family val="1"/>
      </rPr>
      <t>Globe valve</t>
    </r>
  </si>
  <si>
    <r>
      <rPr>
        <sz val="8"/>
        <color rgb="FF232021"/>
        <rFont val="Times New Roman"/>
        <family val="1"/>
      </rPr>
      <t>Angle valve</t>
    </r>
  </si>
  <si>
    <r>
      <rPr>
        <sz val="7"/>
        <color rgb="FF232021"/>
        <rFont val="Times New Roman"/>
        <family val="1"/>
      </rPr>
      <t>For SI</t>
    </r>
    <r>
      <rPr>
        <sz val="7"/>
        <color rgb="FF201C1D"/>
        <rFont val="Times New Roman"/>
        <family val="1"/>
      </rPr>
      <t xml:space="preserve">:    </t>
    </r>
    <r>
      <rPr>
        <sz val="7"/>
        <color rgb="FF232021"/>
        <rFont val="Times New Roman"/>
        <family val="1"/>
      </rPr>
      <t xml:space="preserve">1 inch </t>
    </r>
    <r>
      <rPr>
        <sz val="7.5"/>
        <color rgb="FF232021"/>
        <rFont val="Times New Roman"/>
        <family val="1"/>
      </rPr>
      <t xml:space="preserve">= </t>
    </r>
    <r>
      <rPr>
        <sz val="7"/>
        <color rgb="FF232021"/>
        <rFont val="Times New Roman"/>
        <family val="1"/>
      </rPr>
      <t xml:space="preserve">25.4 mm,  1 foot </t>
    </r>
    <r>
      <rPr>
        <sz val="7.5"/>
        <color rgb="FF232021"/>
        <rFont val="Times New Roman"/>
        <family val="1"/>
      </rPr>
      <t xml:space="preserve">= </t>
    </r>
    <r>
      <rPr>
        <sz val="7"/>
        <color rgb="FF232021"/>
        <rFont val="Times New Roman"/>
        <family val="1"/>
      </rPr>
      <t>304</t>
    </r>
    <r>
      <rPr>
        <sz val="7"/>
        <color rgb="FF201C1D"/>
        <rFont val="Times New Roman"/>
        <family val="1"/>
      </rPr>
      <t>.</t>
    </r>
    <r>
      <rPr>
        <sz val="7"/>
        <color rgb="FF232021"/>
        <rFont val="Times New Roman"/>
        <family val="1"/>
      </rPr>
      <t xml:space="preserve">8 mm,  1 degree </t>
    </r>
    <r>
      <rPr>
        <sz val="7.5"/>
        <color rgb="FF232021"/>
        <rFont val="Times New Roman"/>
        <family val="1"/>
      </rPr>
      <t xml:space="preserve">= </t>
    </r>
    <r>
      <rPr>
        <sz val="7"/>
        <color rgb="FF232021"/>
        <rFont val="Times New Roman"/>
        <family val="1"/>
      </rPr>
      <t>0</t>
    </r>
    <r>
      <rPr>
        <sz val="7"/>
        <color rgb="FF201C1D"/>
        <rFont val="Times New Roman"/>
        <family val="1"/>
      </rPr>
      <t>.</t>
    </r>
    <r>
      <rPr>
        <sz val="7"/>
        <color rgb="FF232021"/>
        <rFont val="Times New Roman"/>
        <family val="1"/>
      </rPr>
      <t>0175 rad</t>
    </r>
    <r>
      <rPr>
        <sz val="7"/>
        <color rgb="FF201C1D"/>
        <rFont val="Times New Roman"/>
        <family val="1"/>
      </rPr>
      <t>.</t>
    </r>
  </si>
  <si>
    <r>
      <rPr>
        <sz val="7"/>
        <color rgb="FF232021"/>
        <rFont val="Arial"/>
        <family val="2"/>
      </rPr>
      <t>TABLE</t>
    </r>
    <r>
      <rPr>
        <sz val="7"/>
        <color rgb="FF232021"/>
        <rFont val="Times New Roman"/>
        <family val="1"/>
      </rPr>
      <t xml:space="preserve">  </t>
    </r>
    <r>
      <rPr>
        <sz val="7"/>
        <color rgb="FF232021"/>
        <rFont val="Arial"/>
        <family val="2"/>
      </rPr>
      <t xml:space="preserve">E103.3(6)
</t>
    </r>
    <r>
      <rPr>
        <sz val="7"/>
        <color rgb="FF232021"/>
        <rFont val="Arial"/>
        <family val="2"/>
      </rPr>
      <t>PRESSURE</t>
    </r>
    <r>
      <rPr>
        <sz val="7"/>
        <color rgb="FF232021"/>
        <rFont val="Times New Roman"/>
        <family val="1"/>
      </rPr>
      <t xml:space="preserve">  </t>
    </r>
    <r>
      <rPr>
        <sz val="7"/>
        <color rgb="FF232021"/>
        <rFont val="Arial"/>
        <family val="2"/>
      </rPr>
      <t>LOSS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IN</t>
    </r>
    <r>
      <rPr>
        <sz val="7"/>
        <color rgb="FF232021"/>
        <rFont val="Times New Roman"/>
        <family val="1"/>
      </rPr>
      <t xml:space="preserve">  </t>
    </r>
    <r>
      <rPr>
        <sz val="7"/>
        <color rgb="FF232021"/>
        <rFont val="Arial"/>
        <family val="2"/>
      </rPr>
      <t>FITTINGS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AND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VALVES</t>
    </r>
    <r>
      <rPr>
        <sz val="7"/>
        <color rgb="FF232021"/>
        <rFont val="Times New Roman"/>
        <family val="1"/>
      </rPr>
      <t xml:space="preserve">  </t>
    </r>
    <r>
      <rPr>
        <sz val="7"/>
        <color rgb="FF232021"/>
        <rFont val="Arial"/>
        <family val="2"/>
      </rPr>
      <t>EXPRESSED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AS</t>
    </r>
    <r>
      <rPr>
        <sz val="7"/>
        <color rgb="FF232021"/>
        <rFont val="Times New Roman"/>
        <family val="1"/>
      </rPr>
      <t xml:space="preserve">  </t>
    </r>
    <r>
      <rPr>
        <sz val="7"/>
        <color rgb="FF232021"/>
        <rFont val="Arial"/>
        <family val="2"/>
      </rPr>
      <t>EQUIVALENT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LENGTH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OF</t>
    </r>
    <r>
      <rPr>
        <sz val="7"/>
        <color rgb="FF232021"/>
        <rFont val="Times New Roman"/>
        <family val="1"/>
      </rPr>
      <t xml:space="preserve"> </t>
    </r>
    <r>
      <rPr>
        <sz val="7"/>
        <color rgb="FF232021"/>
        <rFont val="Arial"/>
        <family val="2"/>
      </rPr>
      <t>TUBE</t>
    </r>
    <r>
      <rPr>
        <vertAlign val="superscript"/>
        <sz val="5.5"/>
        <color rgb="FF232021"/>
        <rFont val="Times New Roman"/>
        <family val="1"/>
      </rPr>
      <t xml:space="preserve">a  </t>
    </r>
    <r>
      <rPr>
        <sz val="7"/>
        <color rgb="FF232021"/>
        <rFont val="Arial"/>
        <family val="2"/>
      </rPr>
      <t>(feet)</t>
    </r>
  </si>
  <si>
    <r>
      <rPr>
        <sz val="6"/>
        <color rgb="FF232021"/>
        <rFont val="Arial"/>
        <family val="2"/>
      </rPr>
      <t>NOMINAL</t>
    </r>
    <r>
      <rPr>
        <sz val="6"/>
        <color rgb="FF232021"/>
        <rFont val="Times New Roman"/>
        <family val="1"/>
      </rPr>
      <t xml:space="preserve"> </t>
    </r>
    <r>
      <rPr>
        <sz val="6"/>
        <color rgb="FF232021"/>
        <rFont val="Arial"/>
        <family val="2"/>
      </rPr>
      <t>OR</t>
    </r>
    <r>
      <rPr>
        <sz val="6"/>
        <color rgb="FF232021"/>
        <rFont val="Times New Roman"/>
        <family val="1"/>
      </rPr>
      <t xml:space="preserve"> </t>
    </r>
    <r>
      <rPr>
        <sz val="6"/>
        <color rgb="FF232021"/>
        <rFont val="Arial"/>
        <family val="2"/>
      </rPr>
      <t>STANDARD</t>
    </r>
    <r>
      <rPr>
        <sz val="6"/>
        <color rgb="FF232021"/>
        <rFont val="Times New Roman"/>
        <family val="1"/>
      </rPr>
      <t xml:space="preserve"> </t>
    </r>
    <r>
      <rPr>
        <sz val="6"/>
        <color rgb="FF232021"/>
        <rFont val="Arial"/>
        <family val="2"/>
      </rPr>
      <t xml:space="preserve">SIZE
</t>
    </r>
    <r>
      <rPr>
        <sz val="6"/>
        <color rgb="FF232021"/>
        <rFont val="Arial"/>
        <family val="2"/>
      </rPr>
      <t>(inches)</t>
    </r>
  </si>
  <si>
    <r>
      <rPr>
        <sz val="6"/>
        <color rgb="FF232021"/>
        <rFont val="Arial"/>
        <family val="2"/>
      </rPr>
      <t>FITTINGS</t>
    </r>
  </si>
  <si>
    <r>
      <rPr>
        <sz val="6"/>
        <color rgb="FF232021"/>
        <rFont val="Arial"/>
        <family val="2"/>
      </rPr>
      <t>Coupling</t>
    </r>
  </si>
  <si>
    <r>
      <rPr>
        <sz val="6"/>
        <color rgb="FF232021"/>
        <rFont val="Arial"/>
        <family val="2"/>
      </rPr>
      <t>VALVES</t>
    </r>
  </si>
  <si>
    <r>
      <rPr>
        <sz val="6"/>
        <color rgb="FF232021"/>
        <rFont val="Arial"/>
        <family val="2"/>
      </rPr>
      <t>Standard</t>
    </r>
    <r>
      <rPr>
        <sz val="6"/>
        <color rgb="FF232021"/>
        <rFont val="Times New Roman"/>
        <family val="1"/>
      </rPr>
      <t xml:space="preserve">  </t>
    </r>
    <r>
      <rPr>
        <sz val="6"/>
        <color rgb="FF232021"/>
        <rFont val="Arial"/>
        <family val="2"/>
      </rPr>
      <t>Ell</t>
    </r>
  </si>
  <si>
    <r>
      <rPr>
        <sz val="6"/>
        <color rgb="FF232021"/>
        <rFont val="Arial"/>
        <family val="2"/>
      </rPr>
      <t>gO-Degree</t>
    </r>
    <r>
      <rPr>
        <sz val="6"/>
        <color rgb="FF232021"/>
        <rFont val="Times New Roman"/>
        <family val="1"/>
      </rPr>
      <t xml:space="preserve"> </t>
    </r>
    <r>
      <rPr>
        <sz val="6"/>
        <color rgb="FF232021"/>
        <rFont val="Arial"/>
        <family val="2"/>
      </rPr>
      <t>Tee</t>
    </r>
  </si>
  <si>
    <r>
      <rPr>
        <sz val="6"/>
        <color rgb="FF232021"/>
        <rFont val="Arial"/>
        <family val="2"/>
      </rPr>
      <t>Ball</t>
    </r>
  </si>
  <si>
    <r>
      <rPr>
        <sz val="6"/>
        <color rgb="FF232021"/>
        <rFont val="Arial"/>
        <family val="2"/>
      </rPr>
      <t>Gate</t>
    </r>
  </si>
  <si>
    <r>
      <rPr>
        <sz val="6"/>
        <color rgb="FF232021"/>
        <rFont val="Arial"/>
        <family val="2"/>
      </rPr>
      <t>Butterfly</t>
    </r>
  </si>
  <si>
    <r>
      <rPr>
        <sz val="6"/>
        <color rgb="FF232021"/>
        <rFont val="Arial"/>
        <family val="2"/>
      </rPr>
      <t>Check</t>
    </r>
  </si>
  <si>
    <r>
      <rPr>
        <sz val="6"/>
        <color rgb="FF232021"/>
        <rFont val="Arial"/>
        <family val="2"/>
      </rPr>
      <t>gO</t>
    </r>
    <r>
      <rPr>
        <sz val="6"/>
        <color rgb="FF232021"/>
        <rFont val="Times New Roman"/>
        <family val="1"/>
      </rPr>
      <t xml:space="preserve"> </t>
    </r>
    <r>
      <rPr>
        <sz val="6"/>
        <color rgb="FF232021"/>
        <rFont val="Arial"/>
        <family val="2"/>
      </rPr>
      <t>Degree</t>
    </r>
  </si>
  <si>
    <r>
      <rPr>
        <sz val="6"/>
        <color rgb="FF232021"/>
        <rFont val="Arial"/>
        <family val="2"/>
      </rPr>
      <t>45</t>
    </r>
    <r>
      <rPr>
        <sz val="6"/>
        <color rgb="FF232021"/>
        <rFont val="Times New Roman"/>
        <family val="1"/>
      </rPr>
      <t xml:space="preserve">  </t>
    </r>
    <r>
      <rPr>
        <sz val="6"/>
        <color rgb="FF232021"/>
        <rFont val="Arial"/>
        <family val="2"/>
      </rPr>
      <t>Degree</t>
    </r>
  </si>
  <si>
    <r>
      <rPr>
        <sz val="6"/>
        <color rgb="FF232021"/>
        <rFont val="Arial"/>
        <family val="2"/>
      </rPr>
      <t>Side</t>
    </r>
    <r>
      <rPr>
        <sz val="6"/>
        <color rgb="FF232021"/>
        <rFont val="Times New Roman"/>
        <family val="1"/>
      </rPr>
      <t xml:space="preserve"> </t>
    </r>
    <r>
      <rPr>
        <sz val="6"/>
        <color rgb="FF232021"/>
        <rFont val="Arial"/>
        <family val="2"/>
      </rPr>
      <t>Branch</t>
    </r>
  </si>
  <si>
    <r>
      <rPr>
        <sz val="6"/>
        <color rgb="FF232021"/>
        <rFont val="Arial"/>
        <family val="2"/>
      </rPr>
      <t>Straight</t>
    </r>
    <r>
      <rPr>
        <sz val="6"/>
        <color rgb="FF232021"/>
        <rFont val="Times New Roman"/>
        <family val="1"/>
      </rPr>
      <t xml:space="preserve"> </t>
    </r>
    <r>
      <rPr>
        <sz val="6"/>
        <color rgb="FF232021"/>
        <rFont val="Arial"/>
        <family val="2"/>
      </rPr>
      <t>Run</t>
    </r>
  </si>
  <si>
    <r>
      <rPr>
        <sz val="5.5"/>
        <color rgb="FF232021"/>
        <rFont val="Times New Roman"/>
        <family val="1"/>
      </rPr>
      <t xml:space="preserve">3/
</t>
    </r>
    <r>
      <rPr>
        <sz val="5.5"/>
        <color rgb="FF232021"/>
        <rFont val="Times New Roman"/>
        <family val="1"/>
      </rPr>
      <t>8</t>
    </r>
  </si>
  <si>
    <r>
      <rPr>
        <sz val="6"/>
        <color rgb="FF232021"/>
        <rFont val="Times New Roman"/>
        <family val="1"/>
      </rPr>
      <t>-</t>
    </r>
  </si>
  <si>
    <r>
      <rPr>
        <sz val="5"/>
        <color rgb="FF232021"/>
        <rFont val="Times New Roman"/>
        <family val="1"/>
      </rPr>
      <t>1/</t>
    </r>
    <r>
      <rPr>
        <vertAlign val="subscript"/>
        <sz val="5"/>
        <color rgb="FF232021"/>
        <rFont val="Times New Roman"/>
        <family val="1"/>
      </rPr>
      <t>2</t>
    </r>
  </si>
  <si>
    <r>
      <rPr>
        <sz val="5.5"/>
        <color rgb="FF232021"/>
        <rFont val="Times New Roman"/>
        <family val="1"/>
      </rPr>
      <t>5/</t>
    </r>
    <r>
      <rPr>
        <vertAlign val="subscript"/>
        <sz val="5.5"/>
        <color rgb="FF232021"/>
        <rFont val="Times New Roman"/>
        <family val="1"/>
      </rPr>
      <t>8</t>
    </r>
  </si>
  <si>
    <r>
      <rPr>
        <sz val="4.5"/>
        <color rgb="FF232021"/>
        <rFont val="Times New Roman"/>
        <family val="1"/>
      </rPr>
      <t>-</t>
    </r>
  </si>
  <si>
    <r>
      <rPr>
        <sz val="5.5"/>
        <color rgb="FF232021"/>
        <rFont val="Times New Roman"/>
        <family val="1"/>
      </rPr>
      <t>3/</t>
    </r>
    <r>
      <rPr>
        <vertAlign val="subscript"/>
        <sz val="5.5"/>
        <color rgb="FF232021"/>
        <rFont val="Times New Roman"/>
        <family val="1"/>
      </rPr>
      <t>4</t>
    </r>
  </si>
  <si>
    <r>
      <rPr>
        <sz val="8"/>
        <color rgb="FF232021"/>
        <rFont val="Times New Roman"/>
        <family val="1"/>
      </rPr>
      <t>1</t>
    </r>
    <r>
      <rPr>
        <vertAlign val="superscript"/>
        <sz val="8"/>
        <color rgb="FF232021"/>
        <rFont val="Times New Roman"/>
        <family val="1"/>
      </rPr>
      <t>1</t>
    </r>
    <r>
      <rPr>
        <vertAlign val="subscript"/>
        <sz val="8"/>
        <color rgb="FF232021"/>
        <rFont val="Times New Roman"/>
        <family val="1"/>
      </rPr>
      <t>/</t>
    </r>
    <r>
      <rPr>
        <sz val="8"/>
        <color rgb="FF232021"/>
        <rFont val="Times New Roman"/>
        <family val="1"/>
      </rPr>
      <t xml:space="preserve"> </t>
    </r>
    <r>
      <rPr>
        <sz val="5.5"/>
        <color rgb="FF232021"/>
        <rFont val="Times New Roman"/>
        <family val="1"/>
      </rPr>
      <t>4</t>
    </r>
  </si>
  <si>
    <r>
      <rPr>
        <sz val="8"/>
        <color rgb="FF232021"/>
        <rFont val="Times New Roman"/>
        <family val="1"/>
      </rPr>
      <t>1</t>
    </r>
    <r>
      <rPr>
        <vertAlign val="superscript"/>
        <sz val="8"/>
        <color rgb="FF232021"/>
        <rFont val="Times New Roman"/>
        <family val="1"/>
      </rPr>
      <t>1</t>
    </r>
    <r>
      <rPr>
        <vertAlign val="subscript"/>
        <sz val="8"/>
        <color rgb="FF232021"/>
        <rFont val="Times New Roman"/>
        <family val="1"/>
      </rPr>
      <t>/</t>
    </r>
    <r>
      <rPr>
        <sz val="8"/>
        <color rgb="FF232021"/>
        <rFont val="Times New Roman"/>
        <family val="1"/>
      </rPr>
      <t xml:space="preserve"> </t>
    </r>
    <r>
      <rPr>
        <sz val="5"/>
        <color rgb="FF232021"/>
        <rFont val="Times New Roman"/>
        <family val="1"/>
      </rPr>
      <t>2</t>
    </r>
  </si>
  <si>
    <r>
      <rPr>
        <sz val="8"/>
        <color rgb="FF232021"/>
        <rFont val="Times New Roman"/>
        <family val="1"/>
      </rPr>
      <t>2</t>
    </r>
    <r>
      <rPr>
        <vertAlign val="superscript"/>
        <sz val="8"/>
        <color rgb="FF232021"/>
        <rFont val="Times New Roman"/>
        <family val="1"/>
      </rPr>
      <t>1</t>
    </r>
    <r>
      <rPr>
        <sz val="5"/>
        <color rgb="FF232021"/>
        <rFont val="Times New Roman"/>
        <family val="1"/>
      </rPr>
      <t>/ 2</t>
    </r>
  </si>
  <si>
    <r>
      <rPr>
        <sz val="8"/>
        <color rgb="FF232021"/>
        <rFont val="Times New Roman"/>
        <family val="1"/>
      </rPr>
      <t>3</t>
    </r>
    <r>
      <rPr>
        <vertAlign val="superscript"/>
        <sz val="8"/>
        <color rgb="FF232021"/>
        <rFont val="Times New Roman"/>
        <family val="1"/>
      </rPr>
      <t>1</t>
    </r>
    <r>
      <rPr>
        <vertAlign val="subscript"/>
        <sz val="8"/>
        <color rgb="FF232021"/>
        <rFont val="Times New Roman"/>
        <family val="1"/>
      </rPr>
      <t>/</t>
    </r>
    <r>
      <rPr>
        <sz val="8"/>
        <color rgb="FF232021"/>
        <rFont val="Times New Roman"/>
        <family val="1"/>
      </rPr>
      <t xml:space="preserve"> </t>
    </r>
    <r>
      <rPr>
        <vertAlign val="subscript"/>
        <sz val="8"/>
        <color rgb="FF232021"/>
        <rFont val="Times New Roman"/>
        <family val="1"/>
      </rPr>
      <t>2</t>
    </r>
  </si>
  <si>
    <r>
      <rPr>
        <sz val="7"/>
        <color rgb="FF232021"/>
        <rFont val="Times New Roman"/>
        <family val="1"/>
      </rPr>
      <t xml:space="preserve">For SI:     1 inch </t>
    </r>
    <r>
      <rPr>
        <sz val="7.5"/>
        <color rgb="FF232021"/>
        <rFont val="Times New Roman"/>
        <family val="1"/>
      </rPr>
      <t xml:space="preserve">= </t>
    </r>
    <r>
      <rPr>
        <sz val="7"/>
        <color rgb="FF232021"/>
        <rFont val="Times New Roman"/>
        <family val="1"/>
      </rPr>
      <t xml:space="preserve">25.4 mm,  1 foot </t>
    </r>
    <r>
      <rPr>
        <sz val="7.5"/>
        <color rgb="FF232021"/>
        <rFont val="Times New Roman"/>
        <family val="1"/>
      </rPr>
      <t xml:space="preserve">= </t>
    </r>
    <r>
      <rPr>
        <sz val="7"/>
        <color rgb="FF232021"/>
        <rFont val="Times New Roman"/>
        <family val="1"/>
      </rPr>
      <t xml:space="preserve">304.8 mm,  1 degree </t>
    </r>
    <r>
      <rPr>
        <sz val="7.5"/>
        <color rgb="FF232021"/>
        <rFont val="Times New Roman"/>
        <family val="1"/>
      </rPr>
      <t xml:space="preserve">= </t>
    </r>
    <r>
      <rPr>
        <sz val="7"/>
        <color rgb="FF232021"/>
        <rFont val="Times New Roman"/>
        <family val="1"/>
      </rPr>
      <t xml:space="preserve">0.01745 rad.
</t>
    </r>
    <r>
      <rPr>
        <sz val="7"/>
        <color rgb="FF232021"/>
        <rFont val="Times New Roman"/>
        <family val="1"/>
      </rPr>
      <t>a.  Allowances are for streamlined soldered fittings and recessed threaded fittings. For threaded fittings</t>
    </r>
    <r>
      <rPr>
        <sz val="7"/>
        <color rgb="FF201C1D"/>
        <rFont val="Times New Roman"/>
        <family val="1"/>
      </rPr>
      <t xml:space="preserve">, </t>
    </r>
    <r>
      <rPr>
        <sz val="7"/>
        <color rgb="FF232021"/>
        <rFont val="Times New Roman"/>
        <family val="1"/>
      </rPr>
      <t>double the allowances shown in the table. The equivalent lengths presented above are based on a C factor of 150 in the Hazen-Williams friction loss formula. The lengths shown are rounded to the nearest half-foot.</t>
    </r>
  </si>
  <si>
    <t>HWR_PIPE SIZING</t>
  </si>
  <si>
    <t>DATA ENTRY</t>
  </si>
  <si>
    <t>HWR PIPE SIZER</t>
  </si>
  <si>
    <t>Hot Water Retuen Pipe Sizing Calculation.</t>
  </si>
  <si>
    <t>AS PER\ ASHRAE APP 2019 (IP), ASPE VOL. (2) CHAPTER (6) &amp; ALFRED STEELE CH(17):---</t>
  </si>
  <si>
    <t>WWW.MEPEXTRA.COM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</si>
</sst>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\,\ dd\ mmmm\ yyyy"/>
    <numFmt numFmtId="166" formatCode="0.00;[Red]0.00"/>
  </numFmts>
  <fonts count="9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indexed="10"/>
      <name val="Arial"/>
      <family val="2"/>
    </font>
    <font>
      <b/>
      <sz val="11"/>
      <color rgb="FFC00000"/>
      <name val="Calibri"/>
      <family val="2"/>
      <scheme val="minor"/>
    </font>
    <font>
      <b/>
      <u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FF00"/>
      <name val="Arial"/>
      <family val="2"/>
    </font>
    <font>
      <sz val="10"/>
      <color theme="1"/>
      <name val="Cambria"/>
      <family val="1"/>
    </font>
    <font>
      <sz val="8"/>
      <color rgb="FF00B050"/>
      <name val="Cambria"/>
      <family val="1"/>
    </font>
    <font>
      <sz val="8"/>
      <color rgb="FFFF0000"/>
      <name val="Cambria"/>
      <family val="1"/>
    </font>
    <font>
      <sz val="11"/>
      <color rgb="FFFF0000"/>
      <name val="Calibri"/>
      <family val="2"/>
      <scheme val="minor"/>
    </font>
    <font>
      <b/>
      <sz val="10"/>
      <color rgb="FFFF0000"/>
      <name val="Cambria"/>
      <family val="1"/>
    </font>
    <font>
      <sz val="8"/>
      <color rgb="FF00B0F0"/>
      <name val="Cambria"/>
      <family val="1"/>
    </font>
    <font>
      <sz val="10"/>
      <color rgb="FF00B050"/>
      <name val="Cambria"/>
      <family val="1"/>
    </font>
    <font>
      <sz val="10"/>
      <color rgb="FFFF0000"/>
      <name val="Cambria"/>
      <family val="1"/>
    </font>
    <font>
      <sz val="10"/>
      <color theme="1"/>
      <name val="Calibri"/>
      <family val="2"/>
    </font>
    <font>
      <sz val="10"/>
      <color rgb="FF002060"/>
      <name val="Cambria"/>
      <family val="1"/>
    </font>
    <font>
      <sz val="8"/>
      <color rgb="FFC00000"/>
      <name val="Cambria"/>
      <family val="1"/>
    </font>
    <font>
      <b/>
      <sz val="11"/>
      <color rgb="FF002060"/>
      <name val="Calibri"/>
      <family val="2"/>
      <scheme val="minor"/>
    </font>
    <font>
      <b/>
      <sz val="10"/>
      <color rgb="FF002060"/>
      <name val="Cambria"/>
      <family val="1"/>
    </font>
    <font>
      <sz val="12"/>
      <name val="Arial"/>
      <family val="2"/>
    </font>
    <font>
      <sz val="12"/>
      <name val="Times New Roman"/>
      <family val="1"/>
      <charset val="178"/>
    </font>
    <font>
      <b/>
      <sz val="16"/>
      <color indexed="10"/>
      <name val="Andalus"/>
      <family val="1"/>
    </font>
    <font>
      <b/>
      <sz val="18"/>
      <color indexed="10"/>
      <name val="Andalus"/>
      <family val="1"/>
    </font>
    <font>
      <b/>
      <sz val="18"/>
      <name val="Andalus"/>
      <family val="1"/>
    </font>
    <font>
      <sz val="11"/>
      <name val="Times New Roman"/>
      <family val="1"/>
      <charset val="178"/>
    </font>
    <font>
      <b/>
      <sz val="16"/>
      <name val="Andalus"/>
      <family val="1"/>
    </font>
    <font>
      <b/>
      <sz val="10"/>
      <name val="Times New Roman"/>
      <family val="1"/>
      <charset val="178"/>
    </font>
    <font>
      <b/>
      <sz val="12"/>
      <color rgb="FF002060"/>
      <name val="Andalus"/>
      <family val="1"/>
    </font>
    <font>
      <b/>
      <sz val="22"/>
      <color indexed="10"/>
      <name val="Andalus"/>
      <family val="1"/>
    </font>
    <font>
      <b/>
      <sz val="26"/>
      <name val="Andalus"/>
      <family val="1"/>
    </font>
    <font>
      <b/>
      <sz val="12"/>
      <color rgb="FFFFFF00"/>
      <name val="Andalus"/>
      <family val="1"/>
    </font>
    <font>
      <b/>
      <sz val="10"/>
      <color rgb="FFFFFF00"/>
      <name val="Arial Black"/>
      <family val="2"/>
    </font>
    <font>
      <b/>
      <sz val="18"/>
      <name val="Andalus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</font>
    <font>
      <b/>
      <sz val="9"/>
      <color indexed="81"/>
      <name val="Tahoma"/>
    </font>
    <font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u/>
      <sz val="11"/>
      <color rgb="FF0070C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232021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perscript"/>
      <sz val="8"/>
      <color rgb="FF232021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rgb="FF232021"/>
      <name val="Calibri"/>
      <family val="2"/>
      <scheme val="minor"/>
    </font>
    <font>
      <i/>
      <vertAlign val="subscript"/>
      <sz val="9"/>
      <color rgb="FF232021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5"/>
      <color rgb="FF232021"/>
      <name val="Calibri"/>
      <family val="2"/>
      <scheme val="minor"/>
    </font>
    <font>
      <vertAlign val="superscript"/>
      <sz val="8"/>
      <color rgb="FF201C1D"/>
      <name val="Calibri"/>
      <family val="2"/>
      <scheme val="minor"/>
    </font>
    <font>
      <sz val="8"/>
      <color rgb="FF201C1D"/>
      <name val="Calibri"/>
      <family val="2"/>
      <scheme val="minor"/>
    </font>
    <font>
      <sz val="9"/>
      <color rgb="FF232021"/>
      <name val="Calibri"/>
      <family val="2"/>
      <scheme val="minor"/>
    </font>
    <font>
      <vertAlign val="superscript"/>
      <sz val="5"/>
      <color rgb="FF201C1D"/>
      <name val="Calibri"/>
      <family val="2"/>
      <scheme val="minor"/>
    </font>
    <font>
      <sz val="7"/>
      <color rgb="FF232021"/>
      <name val="Arial"/>
      <family val="2"/>
    </font>
    <font>
      <sz val="7"/>
      <color rgb="FF232021"/>
      <name val="Times New Roman"/>
      <family val="1"/>
    </font>
    <font>
      <sz val="6"/>
      <color rgb="FF232021"/>
      <name val="Arial"/>
      <family val="2"/>
    </font>
    <font>
      <sz val="6"/>
      <color rgb="FF232021"/>
      <name val="Times New Roman"/>
      <family val="1"/>
    </font>
    <font>
      <sz val="4.5"/>
      <name val="Times New Roman"/>
      <family val="1"/>
    </font>
    <font>
      <sz val="4.5"/>
      <color rgb="FF232021"/>
      <name val="Times New Roman"/>
      <family val="1"/>
    </font>
    <font>
      <vertAlign val="subscript"/>
      <sz val="4.5"/>
      <color rgb="FF232021"/>
      <name val="Times New Roman"/>
      <family val="1"/>
    </font>
    <font>
      <vertAlign val="superscript"/>
      <sz val="6"/>
      <color rgb="FF232021"/>
      <name val="Times New Roman"/>
      <family val="1"/>
    </font>
    <font>
      <sz val="8"/>
      <name val="Times New Roman"/>
      <family val="1"/>
    </font>
    <font>
      <sz val="8"/>
      <color rgb="FF232021"/>
      <name val="Times New Roman"/>
      <family val="1"/>
    </font>
    <font>
      <sz val="8"/>
      <color rgb="FF232021"/>
      <name val="Times New Roman"/>
      <family val="2"/>
    </font>
    <font>
      <sz val="7"/>
      <color rgb="FF201C1D"/>
      <name val="Times New Roman"/>
      <family val="1"/>
    </font>
    <font>
      <sz val="7.5"/>
      <color rgb="FF232021"/>
      <name val="Times New Roman"/>
      <family val="1"/>
    </font>
    <font>
      <vertAlign val="superscript"/>
      <sz val="5.5"/>
      <color rgb="FF232021"/>
      <name val="Times New Roman"/>
      <family val="1"/>
    </font>
    <font>
      <sz val="6"/>
      <name val="Arial"/>
      <family val="2"/>
    </font>
    <font>
      <sz val="5.5"/>
      <color rgb="FF232021"/>
      <name val="Times New Roman"/>
      <family val="1"/>
    </font>
    <font>
      <sz val="6"/>
      <name val="Times New Roman"/>
      <family val="1"/>
    </font>
    <font>
      <sz val="5"/>
      <name val="Times New Roman"/>
      <family val="1"/>
    </font>
    <font>
      <sz val="5"/>
      <color rgb="FF232021"/>
      <name val="Times New Roman"/>
      <family val="1"/>
    </font>
    <font>
      <vertAlign val="subscript"/>
      <sz val="5"/>
      <color rgb="FF232021"/>
      <name val="Times New Roman"/>
      <family val="1"/>
    </font>
    <font>
      <sz val="5.5"/>
      <name val="Times New Roman"/>
      <family val="1"/>
    </font>
    <font>
      <vertAlign val="subscript"/>
      <sz val="5.5"/>
      <color rgb="FF232021"/>
      <name val="Times New Roman"/>
      <family val="1"/>
    </font>
    <font>
      <vertAlign val="superscript"/>
      <sz val="8"/>
      <color rgb="FF232021"/>
      <name val="Times New Roman"/>
      <family val="1"/>
    </font>
    <font>
      <vertAlign val="subscript"/>
      <sz val="8"/>
      <color rgb="FF232021"/>
      <name val="Times New Roman"/>
      <family val="1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rgb="FF201C1D"/>
      </left>
      <right style="thin">
        <color rgb="FF232111"/>
      </right>
      <top style="thin">
        <color rgb="FF201C1D"/>
      </top>
      <bottom style="thin">
        <color rgb="FF201C1D"/>
      </bottom>
      <diagonal/>
    </border>
    <border>
      <left style="thin">
        <color rgb="FF232111"/>
      </left>
      <right style="thin">
        <color rgb="FF232111"/>
      </right>
      <top style="thin">
        <color rgb="FF201C1D"/>
      </top>
      <bottom style="thin">
        <color rgb="FF201C1D"/>
      </bottom>
      <diagonal/>
    </border>
    <border>
      <left style="thin">
        <color rgb="FF201C1D"/>
      </left>
      <right style="thin">
        <color rgb="FF232111"/>
      </right>
      <top style="thin">
        <color rgb="FF201C1D"/>
      </top>
      <bottom style="thin">
        <color rgb="FF232021"/>
      </bottom>
      <diagonal/>
    </border>
    <border>
      <left style="thin">
        <color rgb="FF201C1D"/>
      </left>
      <right style="thin">
        <color rgb="FF232111"/>
      </right>
      <top style="thin">
        <color rgb="FF232021"/>
      </top>
      <bottom style="thin">
        <color rgb="FF201C1D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232021"/>
      </left>
      <right style="thin">
        <color rgb="FF232111"/>
      </right>
      <top style="thin">
        <color rgb="FF232021"/>
      </top>
      <bottom style="thin">
        <color rgb="FF201C1D"/>
      </bottom>
      <diagonal/>
    </border>
    <border>
      <left style="thin">
        <color rgb="FF232021"/>
      </left>
      <right style="thin">
        <color rgb="FF232111"/>
      </right>
      <top style="thin">
        <color rgb="FF201C1D"/>
      </top>
      <bottom style="thin">
        <color rgb="FF201C1D"/>
      </bottom>
      <diagonal/>
    </border>
    <border>
      <left style="thin">
        <color rgb="FF201C1D"/>
      </left>
      <right/>
      <top style="thin">
        <color rgb="FF201C1D"/>
      </top>
      <bottom/>
      <diagonal/>
    </border>
    <border>
      <left/>
      <right/>
      <top style="thin">
        <color rgb="FF201C1D"/>
      </top>
      <bottom/>
      <diagonal/>
    </border>
    <border>
      <left/>
      <right style="thin">
        <color rgb="FF232111"/>
      </right>
      <top style="thin">
        <color rgb="FF201C1D"/>
      </top>
      <bottom/>
      <diagonal/>
    </border>
    <border>
      <left style="thin">
        <color rgb="FF232111"/>
      </left>
      <right/>
      <top style="thin">
        <color rgb="FF201C1D"/>
      </top>
      <bottom style="thin">
        <color rgb="FF201C1D"/>
      </bottom>
      <diagonal/>
    </border>
    <border>
      <left/>
      <right/>
      <top style="thin">
        <color rgb="FF201C1D"/>
      </top>
      <bottom style="thin">
        <color rgb="FF201C1D"/>
      </bottom>
      <diagonal/>
    </border>
    <border>
      <left/>
      <right style="thin">
        <color rgb="FF232111"/>
      </right>
      <top style="thin">
        <color rgb="FF201C1D"/>
      </top>
      <bottom style="thin">
        <color rgb="FF201C1D"/>
      </bottom>
      <diagonal/>
    </border>
    <border>
      <left style="thin">
        <color rgb="FF201C1D"/>
      </left>
      <right/>
      <top/>
      <bottom style="thin">
        <color rgb="FF201C1D"/>
      </bottom>
      <diagonal/>
    </border>
    <border>
      <left/>
      <right/>
      <top/>
      <bottom style="thin">
        <color rgb="FF201C1D"/>
      </bottom>
      <diagonal/>
    </border>
    <border>
      <left/>
      <right style="thin">
        <color rgb="FF232111"/>
      </right>
      <top/>
      <bottom style="thin">
        <color rgb="FF201C1D"/>
      </bottom>
      <diagonal/>
    </border>
    <border>
      <left style="thin">
        <color rgb="FF201C1D"/>
      </left>
      <right/>
      <top style="thin">
        <color rgb="FF201C1D"/>
      </top>
      <bottom style="thin">
        <color rgb="FF201C1D"/>
      </bottom>
      <diagonal/>
    </border>
    <border>
      <left style="thin">
        <color rgb="FF201C1D"/>
      </left>
      <right style="thin">
        <color rgb="FF232111"/>
      </right>
      <top style="thin">
        <color rgb="FF201C1D"/>
      </top>
      <bottom/>
      <diagonal/>
    </border>
    <border>
      <left style="thin">
        <color rgb="FF232111"/>
      </left>
      <right/>
      <top style="thin">
        <color rgb="FF201C1D"/>
      </top>
      <bottom/>
      <diagonal/>
    </border>
    <border>
      <left style="thin">
        <color rgb="FF201C1D"/>
      </left>
      <right style="thin">
        <color rgb="FF232111"/>
      </right>
      <top/>
      <bottom/>
      <diagonal/>
    </border>
    <border>
      <left style="thin">
        <color rgb="FF232111"/>
      </left>
      <right/>
      <top style="thin">
        <color rgb="FF201C1D"/>
      </top>
      <bottom style="thin">
        <color rgb="FF232021"/>
      </bottom>
      <diagonal/>
    </border>
    <border>
      <left/>
      <right/>
      <top style="thin">
        <color rgb="FF201C1D"/>
      </top>
      <bottom style="thin">
        <color rgb="FF232021"/>
      </bottom>
      <diagonal/>
    </border>
    <border>
      <left/>
      <right style="thin">
        <color rgb="FF232111"/>
      </right>
      <top style="thin">
        <color rgb="FF201C1D"/>
      </top>
      <bottom style="thin">
        <color rgb="FF232021"/>
      </bottom>
      <diagonal/>
    </border>
    <border>
      <left style="thin">
        <color rgb="FF232111"/>
      </left>
      <right/>
      <top/>
      <bottom/>
      <diagonal/>
    </border>
    <border>
      <left/>
      <right style="thin">
        <color rgb="FF232111"/>
      </right>
      <top/>
      <bottom/>
      <diagonal/>
    </border>
    <border>
      <left style="thin">
        <color rgb="FF232111"/>
      </left>
      <right style="thin">
        <color rgb="FF232111"/>
      </right>
      <top style="thin">
        <color rgb="FF201C1D"/>
      </top>
      <bottom/>
      <diagonal/>
    </border>
    <border>
      <left style="thin">
        <color rgb="FF201C1D"/>
      </left>
      <right style="thin">
        <color rgb="FF232111"/>
      </right>
      <top/>
      <bottom style="thin">
        <color rgb="FF201C1D"/>
      </bottom>
      <diagonal/>
    </border>
    <border>
      <left style="thin">
        <color rgb="FF232111"/>
      </left>
      <right style="thin">
        <color rgb="FF232111"/>
      </right>
      <top style="thin">
        <color rgb="FF232021"/>
      </top>
      <bottom style="thin">
        <color rgb="FF201C1D"/>
      </bottom>
      <diagonal/>
    </border>
    <border>
      <left style="thin">
        <color rgb="FF232111"/>
      </left>
      <right/>
      <top style="thin">
        <color rgb="FF232021"/>
      </top>
      <bottom style="thin">
        <color rgb="FF201C1D"/>
      </bottom>
      <diagonal/>
    </border>
    <border>
      <left/>
      <right style="thin">
        <color rgb="FF232111"/>
      </right>
      <top style="thin">
        <color rgb="FF232021"/>
      </top>
      <bottom style="thin">
        <color rgb="FF201C1D"/>
      </bottom>
      <diagonal/>
    </border>
    <border>
      <left style="thin">
        <color rgb="FF232111"/>
      </left>
      <right/>
      <top/>
      <bottom style="thin">
        <color rgb="FF201C1D"/>
      </bottom>
      <diagonal/>
    </border>
    <border>
      <left style="thin">
        <color rgb="FF232111"/>
      </left>
      <right style="thin">
        <color rgb="FF232111"/>
      </right>
      <top/>
      <bottom style="thin">
        <color rgb="FF201C1D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27" fillId="0" borderId="0"/>
    <xf numFmtId="0" fontId="2" fillId="0" borderId="0" applyFill="0" applyProtection="0"/>
    <xf numFmtId="0" fontId="90" fillId="0" borderId="0" applyNumberFormat="0" applyFill="0" applyBorder="0" applyAlignment="0" applyProtection="0"/>
  </cellStyleXfs>
  <cellXfs count="509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3" fontId="0" fillId="0" borderId="0" xfId="0" applyNumberForma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0" fillId="4" borderId="0" xfId="0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8" xfId="0" applyBorder="1"/>
    <xf numFmtId="0" fontId="2" fillId="0" borderId="7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0" fillId="0" borderId="0" xfId="0" applyBorder="1" applyAlignment="1">
      <alignment horizontal="left"/>
    </xf>
    <xf numFmtId="0" fontId="5" fillId="0" borderId="0" xfId="1" applyFont="1"/>
    <xf numFmtId="0" fontId="6" fillId="0" borderId="0" xfId="1" applyFont="1" applyAlignment="1"/>
    <xf numFmtId="0" fontId="6" fillId="0" borderId="0" xfId="1" applyFont="1" applyAlignment="1">
      <alignment horizontal="center"/>
    </xf>
    <xf numFmtId="0" fontId="2" fillId="3" borderId="0" xfId="1" applyFont="1" applyFill="1"/>
    <xf numFmtId="0" fontId="7" fillId="0" borderId="0" xfId="2"/>
    <xf numFmtId="0" fontId="7" fillId="0" borderId="0" xfId="2" applyAlignment="1">
      <alignment horizontal="center" vertical="center"/>
    </xf>
    <xf numFmtId="0" fontId="7" fillId="0" borderId="9" xfId="2" applyBorder="1"/>
    <xf numFmtId="0" fontId="2" fillId="0" borderId="0" xfId="2" applyFont="1"/>
    <xf numFmtId="0" fontId="7" fillId="0" borderId="8" xfId="2" applyBorder="1"/>
    <xf numFmtId="0" fontId="2" fillId="0" borderId="7" xfId="2" applyFont="1" applyBorder="1"/>
    <xf numFmtId="0" fontId="2" fillId="0" borderId="8" xfId="2" applyFont="1" applyBorder="1"/>
    <xf numFmtId="0" fontId="2" fillId="6" borderId="0" xfId="2" applyFont="1" applyFill="1" applyAlignment="1">
      <alignment horizontal="center" vertical="center"/>
    </xf>
    <xf numFmtId="0" fontId="7" fillId="3" borderId="0" xfId="2" applyFill="1" applyAlignment="1">
      <alignment horizontal="center" vertical="center"/>
    </xf>
    <xf numFmtId="0" fontId="7" fillId="7" borderId="0" xfId="2" applyFill="1" applyAlignment="1">
      <alignment horizontal="center" vertical="center"/>
    </xf>
    <xf numFmtId="0" fontId="8" fillId="0" borderId="16" xfId="2" applyFont="1" applyBorder="1" applyAlignment="1">
      <alignment vertical="center"/>
    </xf>
    <xf numFmtId="0" fontId="8" fillId="0" borderId="17" xfId="2" applyFont="1" applyBorder="1" applyAlignment="1">
      <alignment vertical="center"/>
    </xf>
    <xf numFmtId="0" fontId="7" fillId="6" borderId="4" xfId="2" applyFill="1" applyBorder="1" applyAlignment="1">
      <alignment horizontal="left" vertical="center"/>
    </xf>
    <xf numFmtId="0" fontId="7" fillId="0" borderId="0" xfId="2" applyAlignment="1">
      <alignment horizontal="left" vertical="center"/>
    </xf>
    <xf numFmtId="0" fontId="7" fillId="0" borderId="14" xfId="2" applyBorder="1" applyAlignment="1">
      <alignment horizontal="center" vertical="center"/>
    </xf>
    <xf numFmtId="0" fontId="7" fillId="0" borderId="4" xfId="2" applyBorder="1" applyAlignment="1">
      <alignment horizontal="center" vertical="center"/>
    </xf>
    <xf numFmtId="0" fontId="7" fillId="0" borderId="15" xfId="2" applyBorder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7" fillId="7" borderId="4" xfId="2" applyNumberFormat="1" applyFill="1" applyBorder="1" applyAlignment="1">
      <alignment horizontal="left" vertical="center"/>
    </xf>
    <xf numFmtId="0" fontId="7" fillId="0" borderId="21" xfId="2" applyBorder="1" applyAlignment="1">
      <alignment horizontal="center" vertical="center"/>
    </xf>
    <xf numFmtId="0" fontId="7" fillId="0" borderId="22" xfId="2" applyBorder="1" applyAlignment="1">
      <alignment horizontal="center" vertical="center"/>
    </xf>
    <xf numFmtId="0" fontId="7" fillId="0" borderId="23" xfId="2" applyBorder="1" applyAlignment="1">
      <alignment horizontal="center" vertical="center"/>
    </xf>
    <xf numFmtId="0" fontId="2" fillId="3" borderId="0" xfId="2" applyFont="1" applyFill="1" applyAlignment="1">
      <alignment horizontal="left" vertical="center"/>
    </xf>
    <xf numFmtId="0" fontId="2" fillId="5" borderId="0" xfId="2" applyFont="1" applyFill="1" applyAlignment="1">
      <alignment horizontal="left" vertical="center"/>
    </xf>
    <xf numFmtId="0" fontId="7" fillId="5" borderId="0" xfId="2" applyFill="1"/>
    <xf numFmtId="0" fontId="7" fillId="3" borderId="0" xfId="2" applyFill="1" applyAlignment="1">
      <alignment horizontal="center" vertical="center"/>
    </xf>
    <xf numFmtId="3" fontId="7" fillId="7" borderId="0" xfId="2" applyNumberFormat="1" applyFill="1" applyAlignment="1">
      <alignment horizontal="center" vertical="center"/>
    </xf>
    <xf numFmtId="3" fontId="7" fillId="7" borderId="4" xfId="2" applyNumberFormat="1" applyFill="1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3" fontId="0" fillId="0" borderId="0" xfId="0" applyNumberFormat="1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2" fontId="0" fillId="4" borderId="0" xfId="0" applyNumberForma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0" fillId="9" borderId="0" xfId="0" applyFill="1" applyBorder="1" applyAlignment="1">
      <alignment vertical="center"/>
    </xf>
    <xf numFmtId="0" fontId="5" fillId="0" borderId="0" xfId="0" applyFont="1"/>
    <xf numFmtId="0" fontId="0" fillId="4" borderId="4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0" fontId="13" fillId="8" borderId="25" xfId="0" applyFont="1" applyFill="1" applyBorder="1" applyAlignment="1">
      <alignment horizontal="left"/>
    </xf>
    <xf numFmtId="0" fontId="0" fillId="0" borderId="29" xfId="0" applyBorder="1"/>
    <xf numFmtId="0" fontId="0" fillId="0" borderId="30" xfId="0" applyBorder="1"/>
    <xf numFmtId="0" fontId="0" fillId="0" borderId="8" xfId="0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3" fontId="1" fillId="3" borderId="26" xfId="0" applyNumberFormat="1" applyFont="1" applyFill="1" applyBorder="1" applyAlignment="1">
      <alignment horizontal="center"/>
    </xf>
    <xf numFmtId="4" fontId="12" fillId="3" borderId="26" xfId="0" applyNumberFormat="1" applyFont="1" applyFill="1" applyBorder="1" applyAlignment="1">
      <alignment horizontal="center"/>
    </xf>
    <xf numFmtId="0" fontId="0" fillId="4" borderId="19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4" fontId="7" fillId="0" borderId="0" xfId="2" applyNumberFormat="1"/>
    <xf numFmtId="0" fontId="0" fillId="3" borderId="0" xfId="0" applyFill="1"/>
    <xf numFmtId="0" fontId="7" fillId="3" borderId="0" xfId="2" applyFill="1"/>
    <xf numFmtId="3" fontId="7" fillId="0" borderId="0" xfId="2" applyNumberFormat="1"/>
    <xf numFmtId="0" fontId="2" fillId="0" borderId="0" xfId="2" applyFont="1" applyAlignment="1">
      <alignment horizontal="right"/>
    </xf>
    <xf numFmtId="0" fontId="7" fillId="0" borderId="0" xfId="2" applyBorder="1"/>
    <xf numFmtId="0" fontId="7" fillId="0" borderId="0" xfId="2" applyBorder="1" applyAlignment="1">
      <alignment horizontal="center" vertic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0" fillId="10" borderId="4" xfId="0" applyFont="1" applyFill="1" applyBorder="1" applyAlignment="1"/>
    <xf numFmtId="0" fontId="0" fillId="10" borderId="1" xfId="0" applyFont="1" applyFill="1" applyBorder="1" applyAlignment="1"/>
    <xf numFmtId="165" fontId="5" fillId="10" borderId="4" xfId="0" applyNumberFormat="1" applyFont="1" applyFill="1" applyBorder="1" applyAlignment="1">
      <alignment horizontal="left" vertical="center"/>
    </xf>
    <xf numFmtId="0" fontId="0" fillId="10" borderId="4" xfId="0" applyFill="1" applyBorder="1"/>
    <xf numFmtId="0" fontId="10" fillId="10" borderId="24" xfId="0" applyFont="1" applyFill="1" applyBorder="1"/>
    <xf numFmtId="0" fontId="0" fillId="4" borderId="2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 applyProtection="1">
      <alignment horizontal="left"/>
    </xf>
    <xf numFmtId="0" fontId="15" fillId="0" borderId="4" xfId="0" applyFont="1" applyFill="1" applyBorder="1" applyAlignment="1" applyProtection="1">
      <alignment horizontal="justify" vertical="center"/>
    </xf>
    <xf numFmtId="0" fontId="15" fillId="0" borderId="4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left"/>
    </xf>
    <xf numFmtId="0" fontId="16" fillId="0" borderId="4" xfId="0" applyFont="1" applyFill="1" applyBorder="1" applyAlignment="1" applyProtection="1">
      <alignment horizontal="left"/>
    </xf>
    <xf numFmtId="0" fontId="14" fillId="0" borderId="4" xfId="0" applyFont="1" applyFill="1" applyBorder="1" applyAlignment="1" applyProtection="1">
      <alignment horizontal="center"/>
    </xf>
    <xf numFmtId="0" fontId="14" fillId="0" borderId="4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/>
    </xf>
    <xf numFmtId="0" fontId="18" fillId="6" borderId="0" xfId="0" applyFont="1" applyFill="1"/>
    <xf numFmtId="0" fontId="19" fillId="0" borderId="0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" fillId="0" borderId="7" xfId="0" applyFont="1" applyFill="1" applyBorder="1" applyAlignment="1"/>
    <xf numFmtId="4" fontId="14" fillId="0" borderId="0" xfId="0" applyNumberFormat="1" applyFont="1" applyFill="1" applyAlignment="1" applyProtection="1">
      <alignment horizontal="center"/>
    </xf>
    <xf numFmtId="3" fontId="0" fillId="0" borderId="0" xfId="0" applyNumberFormat="1" applyAlignment="1">
      <alignment horizontal="center"/>
    </xf>
    <xf numFmtId="0" fontId="0" fillId="3" borderId="7" xfId="0" applyFill="1" applyBorder="1" applyAlignment="1">
      <alignment horizontal="left" vertical="center"/>
    </xf>
    <xf numFmtId="0" fontId="0" fillId="7" borderId="38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center"/>
    </xf>
    <xf numFmtId="0" fontId="0" fillId="7" borderId="49" xfId="0" applyFill="1" applyBorder="1" applyAlignment="1">
      <alignment horizontal="center" vertical="center"/>
    </xf>
    <xf numFmtId="0" fontId="0" fillId="0" borderId="7" xfId="0" applyFill="1" applyBorder="1" applyAlignment="1"/>
    <xf numFmtId="0" fontId="20" fillId="0" borderId="1" xfId="0" applyFont="1" applyFill="1" applyBorder="1" applyAlignment="1" applyProtection="1">
      <alignment vertical="center"/>
    </xf>
    <xf numFmtId="0" fontId="20" fillId="0" borderId="2" xfId="0" applyFont="1" applyFill="1" applyBorder="1" applyAlignment="1" applyProtection="1">
      <alignment vertical="center"/>
    </xf>
    <xf numFmtId="0" fontId="0" fillId="9" borderId="0" xfId="0" applyFill="1" applyBorder="1" applyAlignment="1"/>
    <xf numFmtId="4" fontId="17" fillId="7" borderId="50" xfId="0" applyNumberFormat="1" applyFont="1" applyFill="1" applyBorder="1" applyAlignment="1">
      <alignment horizontal="center" vertical="center"/>
    </xf>
    <xf numFmtId="4" fontId="17" fillId="7" borderId="40" xfId="0" applyNumberFormat="1" applyFont="1" applyFill="1" applyBorder="1" applyAlignment="1">
      <alignment horizontal="center" vertical="center"/>
    </xf>
    <xf numFmtId="4" fontId="17" fillId="7" borderId="45" xfId="0" applyNumberFormat="1" applyFont="1" applyFill="1" applyBorder="1" applyAlignment="1">
      <alignment horizontal="center" vertical="center"/>
    </xf>
    <xf numFmtId="4" fontId="17" fillId="7" borderId="42" xfId="0" applyNumberFormat="1" applyFont="1" applyFill="1" applyBorder="1" applyAlignment="1">
      <alignment horizontal="center" vertical="center"/>
    </xf>
    <xf numFmtId="4" fontId="17" fillId="7" borderId="46" xfId="0" applyNumberFormat="1" applyFont="1" applyFill="1" applyBorder="1" applyAlignment="1">
      <alignment horizontal="center" vertical="center"/>
    </xf>
    <xf numFmtId="4" fontId="17" fillId="7" borderId="43" xfId="0" applyNumberFormat="1" applyFont="1" applyFill="1" applyBorder="1" applyAlignment="1">
      <alignment horizontal="center" vertical="center"/>
    </xf>
    <xf numFmtId="4" fontId="17" fillId="7" borderId="44" xfId="0" applyNumberFormat="1" applyFont="1" applyFill="1" applyBorder="1" applyAlignment="1">
      <alignment horizontal="center" vertical="center"/>
    </xf>
    <xf numFmtId="4" fontId="17" fillId="7" borderId="47" xfId="0" applyNumberFormat="1" applyFont="1" applyFill="1" applyBorder="1" applyAlignment="1">
      <alignment horizontal="center" vertical="center"/>
    </xf>
    <xf numFmtId="0" fontId="0" fillId="9" borderId="0" xfId="0" applyFill="1"/>
    <xf numFmtId="0" fontId="0" fillId="0" borderId="0" xfId="0" applyProtection="1"/>
    <xf numFmtId="0" fontId="28" fillId="0" borderId="0" xfId="3" applyFont="1" applyAlignment="1" applyProtection="1">
      <alignment vertical="center"/>
    </xf>
    <xf numFmtId="2" fontId="29" fillId="0" borderId="0" xfId="0" applyNumberFormat="1" applyFont="1" applyBorder="1" applyAlignment="1" applyProtection="1">
      <alignment horizontal="left" vertical="center" wrapText="1" indent="1" shrinkToFit="1"/>
      <protection locked="0"/>
    </xf>
    <xf numFmtId="2" fontId="30" fillId="0" borderId="0" xfId="0" applyNumberFormat="1" applyFont="1" applyBorder="1" applyAlignment="1" applyProtection="1">
      <alignment horizontal="left" vertical="center" wrapText="1" shrinkToFit="1"/>
      <protection locked="0"/>
    </xf>
    <xf numFmtId="2" fontId="31" fillId="0" borderId="0" xfId="0" applyNumberFormat="1" applyFont="1" applyBorder="1" applyAlignment="1" applyProtection="1">
      <alignment horizontal="center" vertical="center" wrapText="1" shrinkToFit="1"/>
      <protection locked="0"/>
    </xf>
    <xf numFmtId="0" fontId="32" fillId="11" borderId="0" xfId="3" applyFont="1" applyFill="1" applyBorder="1"/>
    <xf numFmtId="2" fontId="33" fillId="0" borderId="0" xfId="0" applyNumberFormat="1" applyFont="1" applyBorder="1" applyAlignment="1" applyProtection="1">
      <alignment horizontal="center" vertical="center" wrapText="1" shrinkToFit="1"/>
      <protection locked="0"/>
    </xf>
    <xf numFmtId="0" fontId="34" fillId="11" borderId="0" xfId="3" applyFont="1" applyFill="1" applyBorder="1" applyAlignment="1">
      <alignment vertical="center"/>
    </xf>
    <xf numFmtId="0" fontId="28" fillId="0" borderId="0" xfId="3" applyFont="1" applyAlignment="1">
      <alignment vertical="center"/>
    </xf>
    <xf numFmtId="2" fontId="35" fillId="0" borderId="0" xfId="0" applyNumberFormat="1" applyFont="1" applyBorder="1" applyAlignment="1" applyProtection="1">
      <alignment horizontal="left" vertical="center" wrapText="1" shrinkToFit="1"/>
      <protection locked="0"/>
    </xf>
    <xf numFmtId="2" fontId="36" fillId="0" borderId="0" xfId="0" applyNumberFormat="1" applyFont="1" applyBorder="1" applyAlignment="1" applyProtection="1">
      <alignment horizontal="left" vertical="center" wrapText="1" shrinkToFit="1"/>
      <protection locked="0"/>
    </xf>
    <xf numFmtId="2" fontId="37" fillId="0" borderId="0" xfId="0" applyNumberFormat="1" applyFont="1" applyBorder="1" applyAlignment="1" applyProtection="1">
      <alignment horizontal="center" vertical="center" wrapText="1" shrinkToFit="1"/>
      <protection locked="0"/>
    </xf>
    <xf numFmtId="2" fontId="38" fillId="8" borderId="0" xfId="0" applyNumberFormat="1" applyFont="1" applyFill="1" applyBorder="1" applyAlignment="1" applyProtection="1">
      <alignment horizontal="center" vertical="center" wrapText="1" shrinkToFit="1"/>
      <protection locked="0"/>
    </xf>
    <xf numFmtId="2" fontId="39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ill="1"/>
    <xf numFmtId="2" fontId="40" fillId="0" borderId="0" xfId="0" applyNumberFormat="1" applyFont="1" applyBorder="1" applyAlignment="1" applyProtection="1">
      <alignment horizontal="center" vertical="center" wrapText="1" shrinkToFit="1"/>
      <protection locked="0"/>
    </xf>
    <xf numFmtId="2" fontId="35" fillId="12" borderId="0" xfId="0" applyNumberFormat="1" applyFont="1" applyFill="1" applyBorder="1" applyAlignment="1" applyProtection="1">
      <alignment horizontal="left" vertical="center" wrapText="1" shrinkToFit="1"/>
      <protection locked="0"/>
    </xf>
    <xf numFmtId="0" fontId="23" fillId="7" borderId="4" xfId="0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9" fontId="7" fillId="0" borderId="0" xfId="2" applyNumberFormat="1"/>
    <xf numFmtId="0" fontId="0" fillId="0" borderId="0" xfId="0" applyFill="1" applyBorder="1" applyAlignment="1">
      <alignment horizontal="right"/>
    </xf>
    <xf numFmtId="3" fontId="0" fillId="0" borderId="0" xfId="0" applyNumberFormat="1" applyFill="1" applyBorder="1"/>
    <xf numFmtId="164" fontId="0" fillId="0" borderId="0" xfId="0" applyNumberFormat="1" applyFill="1" applyBorder="1"/>
    <xf numFmtId="0" fontId="0" fillId="0" borderId="8" xfId="0" applyFill="1" applyBorder="1"/>
    <xf numFmtId="3" fontId="26" fillId="3" borderId="4" xfId="0" applyNumberFormat="1" applyFont="1" applyFill="1" applyBorder="1" applyAlignment="1" applyProtection="1">
      <alignment horizontal="center" vertical="center"/>
    </xf>
    <xf numFmtId="0" fontId="46" fillId="13" borderId="14" xfId="0" applyFont="1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0" borderId="0" xfId="0" applyProtection="1">
      <protection locked="0"/>
    </xf>
    <xf numFmtId="0" fontId="47" fillId="0" borderId="0" xfId="0" applyFont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48" fillId="0" borderId="0" xfId="0" applyFont="1" applyFill="1" applyBorder="1" applyAlignment="1">
      <alignment vertical="center"/>
    </xf>
    <xf numFmtId="0" fontId="0" fillId="7" borderId="58" xfId="0" applyFill="1" applyBorder="1" applyAlignment="1">
      <alignment horizontal="left" vertical="center"/>
    </xf>
    <xf numFmtId="0" fontId="0" fillId="7" borderId="58" xfId="0" applyFill="1" applyBorder="1" applyAlignment="1">
      <alignment horizontal="center" vertical="center"/>
    </xf>
    <xf numFmtId="0" fontId="0" fillId="7" borderId="59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14" borderId="58" xfId="0" applyFill="1" applyBorder="1" applyAlignment="1">
      <alignment horizontal="center" vertical="center"/>
    </xf>
    <xf numFmtId="0" fontId="0" fillId="14" borderId="59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2" fontId="0" fillId="7" borderId="58" xfId="0" applyNumberFormat="1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0" fillId="0" borderId="0" xfId="0" applyFont="1" applyFill="1" applyBorder="1"/>
    <xf numFmtId="0" fontId="0" fillId="7" borderId="61" xfId="0" applyFill="1" applyBorder="1" applyAlignment="1">
      <alignment horizontal="left" vertical="center"/>
    </xf>
    <xf numFmtId="0" fontId="0" fillId="7" borderId="61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0" fillId="14" borderId="61" xfId="0" applyFill="1" applyBorder="1" applyAlignment="1">
      <alignment horizontal="center" vertical="center"/>
    </xf>
    <xf numFmtId="2" fontId="0" fillId="7" borderId="6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7" borderId="60" xfId="0" applyFill="1" applyBorder="1" applyAlignment="1">
      <alignment horizontal="left" vertical="center"/>
    </xf>
    <xf numFmtId="0" fontId="0" fillId="3" borderId="60" xfId="0" applyFill="1" applyBorder="1" applyAlignment="1">
      <alignment horizontal="center" vertical="center"/>
    </xf>
    <xf numFmtId="0" fontId="0" fillId="14" borderId="60" xfId="0" applyFill="1" applyBorder="1" applyAlignment="1">
      <alignment horizontal="center" vertical="center"/>
    </xf>
    <xf numFmtId="0" fontId="0" fillId="7" borderId="54" xfId="0" applyFill="1" applyBorder="1" applyAlignment="1">
      <alignment horizontal="left" vertical="center"/>
    </xf>
    <xf numFmtId="0" fontId="0" fillId="7" borderId="62" xfId="0" applyFill="1" applyBorder="1" applyAlignment="1">
      <alignment horizontal="center" vertical="center"/>
    </xf>
    <xf numFmtId="0" fontId="0" fillId="7" borderId="54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14" borderId="54" xfId="0" applyFill="1" applyBorder="1" applyAlignment="1">
      <alignment horizontal="center" vertical="center"/>
    </xf>
    <xf numFmtId="2" fontId="0" fillId="7" borderId="54" xfId="0" applyNumberFormat="1" applyFill="1" applyBorder="1" applyAlignment="1">
      <alignment horizontal="center" vertical="center"/>
    </xf>
    <xf numFmtId="0" fontId="49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9" fontId="0" fillId="7" borderId="58" xfId="0" applyNumberFormat="1" applyFill="1" applyBorder="1" applyAlignment="1">
      <alignment horizontal="center" vertical="center"/>
    </xf>
    <xf numFmtId="9" fontId="0" fillId="7" borderId="61" xfId="0" applyNumberFormat="1" applyFill="1" applyBorder="1" applyAlignment="1">
      <alignment horizontal="center" vertical="center"/>
    </xf>
    <xf numFmtId="9" fontId="0" fillId="7" borderId="54" xfId="0" applyNumberFormat="1" applyFill="1" applyBorder="1" applyAlignment="1">
      <alignment horizontal="center" vertical="center"/>
    </xf>
    <xf numFmtId="0" fontId="50" fillId="0" borderId="0" xfId="0" applyFont="1" applyAlignment="1"/>
    <xf numFmtId="0" fontId="51" fillId="0" borderId="0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12" fontId="0" fillId="0" borderId="4" xfId="0" applyNumberFormat="1" applyBorder="1" applyAlignment="1">
      <alignment horizontal="center"/>
    </xf>
    <xf numFmtId="0" fontId="0" fillId="0" borderId="5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166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/>
    </xf>
    <xf numFmtId="166" fontId="0" fillId="0" borderId="0" xfId="0" applyNumberFormat="1"/>
    <xf numFmtId="1" fontId="0" fillId="0" borderId="4" xfId="0" applyNumberFormat="1" applyBorder="1" applyAlignment="1">
      <alignment horizontal="center"/>
    </xf>
    <xf numFmtId="0" fontId="0" fillId="15" borderId="2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3" borderId="4" xfId="0" applyFill="1" applyBorder="1"/>
    <xf numFmtId="0" fontId="0" fillId="0" borderId="4" xfId="0" applyBorder="1"/>
    <xf numFmtId="0" fontId="0" fillId="0" borderId="0" xfId="0" applyAlignment="1"/>
    <xf numFmtId="0" fontId="1" fillId="10" borderId="4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2" borderId="52" xfId="0" applyFill="1" applyBorder="1"/>
    <xf numFmtId="0" fontId="0" fillId="12" borderId="24" xfId="1" applyFont="1" applyFill="1" applyBorder="1"/>
    <xf numFmtId="0" fontId="0" fillId="12" borderId="57" xfId="0" applyFill="1" applyBorder="1" applyAlignment="1">
      <alignment horizontal="center"/>
    </xf>
    <xf numFmtId="0" fontId="0" fillId="12" borderId="14" xfId="0" applyFill="1" applyBorder="1"/>
    <xf numFmtId="0" fontId="0" fillId="12" borderId="4" xfId="1" applyFont="1" applyFill="1" applyBorder="1"/>
    <xf numFmtId="0" fontId="0" fillId="12" borderId="15" xfId="0" applyFill="1" applyBorder="1" applyAlignment="1">
      <alignment horizontal="center"/>
    </xf>
    <xf numFmtId="0" fontId="0" fillId="12" borderId="4" xfId="0" applyFill="1" applyBorder="1"/>
    <xf numFmtId="0" fontId="0" fillId="12" borderId="21" xfId="0" applyFill="1" applyBorder="1"/>
    <xf numFmtId="0" fontId="0" fillId="12" borderId="22" xfId="0" applyFill="1" applyBorder="1"/>
    <xf numFmtId="0" fontId="0" fillId="12" borderId="22" xfId="0" applyFill="1" applyBorder="1" applyAlignment="1">
      <alignment horizontal="center"/>
    </xf>
    <xf numFmtId="0" fontId="0" fillId="12" borderId="23" xfId="0" applyFill="1" applyBorder="1" applyAlignment="1">
      <alignment horizontal="center"/>
    </xf>
    <xf numFmtId="49" fontId="2" fillId="0" borderId="0" xfId="0" applyNumberFormat="1" applyFont="1" applyFill="1" applyAlignment="1">
      <alignment horizontal="left" vertical="center"/>
    </xf>
    <xf numFmtId="49" fontId="47" fillId="0" borderId="0" xfId="0" applyNumberFormat="1" applyFont="1" applyAlignment="1">
      <alignment horizontal="center" vertical="center"/>
    </xf>
    <xf numFmtId="49" fontId="47" fillId="0" borderId="0" xfId="0" applyNumberFormat="1" applyFont="1" applyAlignment="1">
      <alignment horizontal="left" vertical="center"/>
    </xf>
    <xf numFmtId="0" fontId="47" fillId="0" borderId="4" xfId="0" applyFont="1" applyFill="1" applyBorder="1" applyAlignment="1">
      <alignment horizontal="center" vertical="center"/>
    </xf>
    <xf numFmtId="0" fontId="53" fillId="0" borderId="63" xfId="0" applyFont="1" applyFill="1" applyBorder="1" applyAlignment="1">
      <alignment horizontal="center" vertical="center" wrapText="1"/>
    </xf>
    <xf numFmtId="0" fontId="55" fillId="0" borderId="64" xfId="0" applyFont="1" applyFill="1" applyBorder="1" applyAlignment="1">
      <alignment horizontal="center" vertical="top" wrapText="1"/>
    </xf>
    <xf numFmtId="0" fontId="54" fillId="0" borderId="64" xfId="0" applyFont="1" applyFill="1" applyBorder="1" applyAlignment="1">
      <alignment horizontal="center" vertical="top" wrapText="1"/>
    </xf>
    <xf numFmtId="0" fontId="53" fillId="0" borderId="63" xfId="0" applyFont="1" applyFill="1" applyBorder="1" applyAlignment="1">
      <alignment horizontal="left" vertical="top" wrapText="1"/>
    </xf>
    <xf numFmtId="0" fontId="57" fillId="0" borderId="64" xfId="0" applyFont="1" applyFill="1" applyBorder="1" applyAlignment="1">
      <alignment horizontal="center" vertical="top" wrapText="1"/>
    </xf>
    <xf numFmtId="0" fontId="46" fillId="0" borderId="0" xfId="0" applyFont="1" applyBorder="1" applyAlignment="1">
      <alignment horizontal="center" vertical="center"/>
    </xf>
    <xf numFmtId="0" fontId="53" fillId="0" borderId="65" xfId="0" applyFont="1" applyFill="1" applyBorder="1" applyAlignment="1">
      <alignment horizontal="left" vertical="top" wrapText="1"/>
    </xf>
    <xf numFmtId="0" fontId="60" fillId="0" borderId="66" xfId="0" applyFont="1" applyFill="1" applyBorder="1" applyAlignment="1">
      <alignment horizontal="left" vertical="top" wrapText="1"/>
    </xf>
    <xf numFmtId="0" fontId="47" fillId="0" borderId="19" xfId="0" applyFont="1" applyFill="1" applyBorder="1" applyAlignment="1">
      <alignment horizontal="center" vertical="center"/>
    </xf>
    <xf numFmtId="0" fontId="47" fillId="12" borderId="11" xfId="0" applyFont="1" applyFill="1" applyBorder="1" applyAlignment="1">
      <alignment horizontal="center" vertical="center"/>
    </xf>
    <xf numFmtId="0" fontId="47" fillId="12" borderId="12" xfId="0" applyFont="1" applyFill="1" applyBorder="1" applyAlignment="1">
      <alignment horizontal="center" vertical="center"/>
    </xf>
    <xf numFmtId="0" fontId="47" fillId="12" borderId="21" xfId="0" applyFont="1" applyFill="1" applyBorder="1" applyAlignment="1">
      <alignment horizontal="center" vertical="center"/>
    </xf>
    <xf numFmtId="0" fontId="47" fillId="12" borderId="2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7" fillId="0" borderId="24" xfId="0" applyFont="1" applyFill="1" applyBorder="1" applyAlignment="1">
      <alignment horizontal="center" vertical="center"/>
    </xf>
    <xf numFmtId="0" fontId="53" fillId="0" borderId="66" xfId="0" applyFont="1" applyFill="1" applyBorder="1" applyAlignment="1">
      <alignment horizontal="left" vertical="top" wrapText="1"/>
    </xf>
    <xf numFmtId="0" fontId="0" fillId="12" borderId="11" xfId="0" applyFill="1" applyBorder="1"/>
    <xf numFmtId="0" fontId="0" fillId="12" borderId="12" xfId="0" applyFill="1" applyBorder="1" applyAlignment="1">
      <alignment horizontal="center"/>
    </xf>
    <xf numFmtId="0" fontId="0" fillId="12" borderId="68" xfId="0" applyFill="1" applyBorder="1"/>
    <xf numFmtId="0" fontId="0" fillId="12" borderId="69" xfId="0" applyFill="1" applyBorder="1" applyAlignment="1">
      <alignment horizontal="center"/>
    </xf>
    <xf numFmtId="0" fontId="53" fillId="0" borderId="70" xfId="0" applyFont="1" applyFill="1" applyBorder="1" applyAlignment="1">
      <alignment horizontal="left" vertical="top" wrapText="1"/>
    </xf>
    <xf numFmtId="0" fontId="53" fillId="0" borderId="71" xfId="0" applyFont="1" applyFill="1" applyBorder="1" applyAlignment="1">
      <alignment horizontal="left" vertical="top" wrapText="1"/>
    </xf>
    <xf numFmtId="1" fontId="64" fillId="0" borderId="64" xfId="0" applyNumberFormat="1" applyFont="1" applyFill="1" applyBorder="1" applyAlignment="1">
      <alignment horizontal="center" vertical="top" shrinkToFit="1"/>
    </xf>
    <xf numFmtId="0" fontId="60" fillId="0" borderId="7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6" borderId="64" xfId="0" applyFill="1" applyBorder="1" applyAlignment="1">
      <alignment horizontal="center" vertical="center" wrapText="1"/>
    </xf>
    <xf numFmtId="1" fontId="68" fillId="6" borderId="64" xfId="0" applyNumberFormat="1" applyFont="1" applyFill="1" applyBorder="1" applyAlignment="1">
      <alignment horizontal="center" vertical="center" shrinkToFit="1"/>
    </xf>
    <xf numFmtId="164" fontId="76" fillId="7" borderId="64" xfId="0" applyNumberFormat="1" applyFont="1" applyFill="1" applyBorder="1" applyAlignment="1">
      <alignment horizontal="center" vertical="center" shrinkToFit="1"/>
    </xf>
    <xf numFmtId="0" fontId="0" fillId="6" borderId="92" xfId="0" applyFill="1" applyBorder="1" applyAlignment="1">
      <alignment horizontal="center" vertical="center" wrapText="1"/>
    </xf>
    <xf numFmtId="0" fontId="0" fillId="7" borderId="63" xfId="0" applyFill="1" applyBorder="1" applyAlignment="1">
      <alignment horizontal="center" vertical="center" wrapText="1"/>
    </xf>
    <xf numFmtId="0" fontId="83" fillId="7" borderId="63" xfId="0" applyFont="1" applyFill="1" applyBorder="1" applyAlignment="1">
      <alignment horizontal="center" vertical="center" wrapText="1"/>
    </xf>
    <xf numFmtId="1" fontId="76" fillId="7" borderId="64" xfId="0" applyNumberFormat="1" applyFont="1" applyFill="1" applyBorder="1" applyAlignment="1">
      <alignment horizontal="center" vertical="center" shrinkToFit="1"/>
    </xf>
    <xf numFmtId="0" fontId="86" fillId="7" borderId="63" xfId="0" applyFont="1" applyFill="1" applyBorder="1" applyAlignment="1">
      <alignment horizontal="center" vertical="center" wrapText="1"/>
    </xf>
    <xf numFmtId="1" fontId="76" fillId="7" borderId="63" xfId="0" applyNumberFormat="1" applyFont="1" applyFill="1" applyBorder="1" applyAlignment="1">
      <alignment horizontal="center" vertical="center" shrinkToFit="1"/>
    </xf>
    <xf numFmtId="0" fontId="74" fillId="7" borderId="63" xfId="0" applyFont="1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/>
    </xf>
    <xf numFmtId="0" fontId="10" fillId="10" borderId="4" xfId="0" applyFont="1" applyFill="1" applyBorder="1"/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11" fillId="8" borderId="7" xfId="0" applyFont="1" applyFill="1" applyBorder="1" applyAlignment="1">
      <alignment horizontal="left"/>
    </xf>
    <xf numFmtId="0" fontId="11" fillId="8" borderId="0" xfId="0" applyFont="1" applyFill="1" applyBorder="1" applyAlignment="1">
      <alignment horizontal="left"/>
    </xf>
    <xf numFmtId="0" fontId="11" fillId="8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2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10" borderId="4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10" borderId="4" xfId="0" applyFont="1" applyFill="1" applyBorder="1" applyAlignment="1">
      <alignment horizontal="left"/>
    </xf>
    <xf numFmtId="0" fontId="0" fillId="10" borderId="4" xfId="0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3" fillId="7" borderId="1" xfId="0" applyFont="1" applyFill="1" applyBorder="1" applyAlignment="1" applyProtection="1">
      <alignment horizontal="center" vertical="center"/>
    </xf>
    <xf numFmtId="0" fontId="23" fillId="7" borderId="2" xfId="0" applyFont="1" applyFill="1" applyBorder="1" applyAlignment="1" applyProtection="1">
      <alignment horizontal="center" vertical="center"/>
    </xf>
    <xf numFmtId="0" fontId="24" fillId="7" borderId="1" xfId="0" applyFont="1" applyFill="1" applyBorder="1" applyAlignment="1" applyProtection="1">
      <alignment horizontal="left"/>
    </xf>
    <xf numFmtId="0" fontId="24" fillId="7" borderId="3" xfId="0" applyFont="1" applyFill="1" applyBorder="1" applyAlignment="1" applyProtection="1">
      <alignment horizontal="left"/>
    </xf>
    <xf numFmtId="0" fontId="24" fillId="7" borderId="2" xfId="0" applyFont="1" applyFill="1" applyBorder="1" applyAlignment="1" applyProtection="1">
      <alignment horizontal="left"/>
    </xf>
    <xf numFmtId="0" fontId="25" fillId="3" borderId="1" xfId="0" applyFont="1" applyFill="1" applyBorder="1" applyAlignment="1" applyProtection="1">
      <alignment horizontal="left" vertical="center"/>
    </xf>
    <xf numFmtId="0" fontId="25" fillId="3" borderId="3" xfId="0" applyFont="1" applyFill="1" applyBorder="1" applyAlignment="1" applyProtection="1">
      <alignment horizontal="left" vertical="center"/>
    </xf>
    <xf numFmtId="0" fontId="25" fillId="3" borderId="2" xfId="0" applyFont="1" applyFill="1" applyBorder="1" applyAlignment="1" applyProtection="1">
      <alignment horizontal="left" vertical="center"/>
    </xf>
    <xf numFmtId="0" fontId="26" fillId="3" borderId="1" xfId="0" applyFont="1" applyFill="1" applyBorder="1" applyAlignment="1" applyProtection="1">
      <alignment horizontal="center" vertical="center"/>
    </xf>
    <xf numFmtId="0" fontId="26" fillId="3" borderId="2" xfId="0" applyFont="1" applyFill="1" applyBorder="1" applyAlignment="1" applyProtection="1">
      <alignment horizontal="center" vertical="center"/>
    </xf>
    <xf numFmtId="0" fontId="17" fillId="6" borderId="19" xfId="0" applyFont="1" applyFill="1" applyBorder="1" applyAlignment="1" applyProtection="1">
      <alignment horizontal="center" vertical="center"/>
    </xf>
    <xf numFmtId="0" fontId="17" fillId="6" borderId="24" xfId="0" applyFont="1" applyFill="1" applyBorder="1" applyAlignment="1" applyProtection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/>
    </xf>
    <xf numFmtId="0" fontId="1" fillId="0" borderId="17" xfId="0" applyFont="1" applyBorder="1" applyAlignment="1">
      <alignment horizontal="left"/>
    </xf>
    <xf numFmtId="0" fontId="17" fillId="6" borderId="31" xfId="0" applyFont="1" applyFill="1" applyBorder="1" applyAlignment="1" applyProtection="1">
      <alignment horizontal="center" vertical="center"/>
    </xf>
    <xf numFmtId="0" fontId="17" fillId="6" borderId="32" xfId="0" applyFont="1" applyFill="1" applyBorder="1" applyAlignment="1" applyProtection="1">
      <alignment horizontal="center" vertical="center"/>
    </xf>
    <xf numFmtId="0" fontId="17" fillId="6" borderId="33" xfId="0" applyFont="1" applyFill="1" applyBorder="1" applyAlignment="1" applyProtection="1">
      <alignment horizontal="center" vertical="center"/>
    </xf>
    <xf numFmtId="0" fontId="17" fillId="6" borderId="36" xfId="0" applyFont="1" applyFill="1" applyBorder="1" applyAlignment="1" applyProtection="1">
      <alignment horizontal="center" vertical="center"/>
    </xf>
    <xf numFmtId="0" fontId="17" fillId="6" borderId="9" xfId="0" applyFont="1" applyFill="1" applyBorder="1" applyAlignment="1" applyProtection="1">
      <alignment horizontal="center" vertical="center"/>
    </xf>
    <xf numFmtId="0" fontId="17" fillId="6" borderId="37" xfId="0" applyFont="1" applyFill="1" applyBorder="1" applyAlignment="1" applyProtection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horizontal="left" vertical="center"/>
    </xf>
    <xf numFmtId="0" fontId="0" fillId="10" borderId="4" xfId="0" applyFill="1" applyBorder="1" applyAlignment="1">
      <alignment horizontal="left" vertical="center"/>
    </xf>
    <xf numFmtId="0" fontId="45" fillId="6" borderId="13" xfId="0" applyFont="1" applyFill="1" applyBorder="1" applyAlignment="1">
      <alignment horizontal="center" vertical="center"/>
    </xf>
    <xf numFmtId="0" fontId="45" fillId="6" borderId="15" xfId="0" applyFont="1" applyFill="1" applyBorder="1" applyAlignment="1">
      <alignment horizontal="center" vertical="center"/>
    </xf>
    <xf numFmtId="0" fontId="45" fillId="6" borderId="11" xfId="0" applyFont="1" applyFill="1" applyBorder="1" applyAlignment="1">
      <alignment horizontal="center" vertical="center"/>
    </xf>
    <xf numFmtId="0" fontId="45" fillId="6" borderId="14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/>
    </xf>
    <xf numFmtId="0" fontId="45" fillId="6" borderId="12" xfId="0" applyFont="1" applyFill="1" applyBorder="1" applyAlignment="1">
      <alignment horizontal="center" vertical="center"/>
    </xf>
    <xf numFmtId="0" fontId="45" fillId="6" borderId="4" xfId="0" applyFont="1" applyFill="1" applyBorder="1" applyAlignment="1">
      <alignment horizontal="center" vertical="center"/>
    </xf>
    <xf numFmtId="0" fontId="45" fillId="6" borderId="55" xfId="0" applyFont="1" applyFill="1" applyBorder="1" applyAlignment="1">
      <alignment horizontal="center" vertical="center" wrapText="1"/>
    </xf>
    <xf numFmtId="0" fontId="45" fillId="6" borderId="51" xfId="0" applyFont="1" applyFill="1" applyBorder="1" applyAlignment="1">
      <alignment horizontal="center" vertical="center" wrapText="1"/>
    </xf>
    <xf numFmtId="0" fontId="45" fillId="6" borderId="24" xfId="0" applyFont="1" applyFill="1" applyBorder="1" applyAlignment="1">
      <alignment horizontal="center" vertical="center" wrapText="1"/>
    </xf>
    <xf numFmtId="0" fontId="45" fillId="6" borderId="12" xfId="0" applyFont="1" applyFill="1" applyBorder="1" applyAlignment="1">
      <alignment horizontal="center" vertical="center" wrapText="1"/>
    </xf>
    <xf numFmtId="0" fontId="45" fillId="6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0" borderId="7" xfId="0" applyBorder="1" applyAlignment="1">
      <alignment horizontal="right"/>
    </xf>
    <xf numFmtId="0" fontId="0" fillId="0" borderId="0" xfId="0" applyBorder="1" applyAlignment="1">
      <alignment horizontal="right"/>
    </xf>
    <xf numFmtId="0" fontId="7" fillId="3" borderId="9" xfId="2" applyFill="1" applyBorder="1" applyAlignment="1">
      <alignment horizontal="center"/>
    </xf>
    <xf numFmtId="0" fontId="7" fillId="5" borderId="0" xfId="2" applyFill="1" applyAlignment="1">
      <alignment horizontal="center" vertical="top" wrapText="1"/>
    </xf>
    <xf numFmtId="0" fontId="7" fillId="5" borderId="10" xfId="2" applyFill="1" applyBorder="1" applyAlignment="1">
      <alignment horizontal="center" vertical="top" wrapText="1"/>
    </xf>
    <xf numFmtId="0" fontId="7" fillId="5" borderId="31" xfId="2" applyFill="1" applyBorder="1" applyAlignment="1">
      <alignment horizontal="center" vertical="center" wrapText="1"/>
    </xf>
    <xf numFmtId="0" fontId="7" fillId="5" borderId="32" xfId="2" applyFill="1" applyBorder="1" applyAlignment="1">
      <alignment horizontal="center" vertical="center" wrapText="1"/>
    </xf>
    <xf numFmtId="0" fontId="7" fillId="5" borderId="33" xfId="2" applyFill="1" applyBorder="1" applyAlignment="1">
      <alignment horizontal="center" vertical="center" wrapText="1"/>
    </xf>
    <xf numFmtId="0" fontId="7" fillId="5" borderId="7" xfId="2" applyFill="1" applyBorder="1" applyAlignment="1">
      <alignment horizontal="center" vertical="center" wrapText="1"/>
    </xf>
    <xf numFmtId="0" fontId="7" fillId="5" borderId="0" xfId="2" applyFill="1" applyBorder="1" applyAlignment="1">
      <alignment horizontal="center" vertical="center" wrapText="1"/>
    </xf>
    <xf numFmtId="0" fontId="7" fillId="5" borderId="8" xfId="2" applyFill="1" applyBorder="1" applyAlignment="1">
      <alignment horizontal="center" vertical="center" wrapText="1"/>
    </xf>
    <xf numFmtId="0" fontId="7" fillId="5" borderId="34" xfId="2" applyFill="1" applyBorder="1" applyAlignment="1">
      <alignment horizontal="center" vertical="center" wrapText="1"/>
    </xf>
    <xf numFmtId="0" fontId="7" fillId="5" borderId="10" xfId="2" applyFill="1" applyBorder="1" applyAlignment="1">
      <alignment horizontal="center" vertical="center" wrapText="1"/>
    </xf>
    <xf numFmtId="0" fontId="7" fillId="5" borderId="35" xfId="2" applyFill="1" applyBorder="1" applyAlignment="1">
      <alignment horizontal="center" vertical="center" wrapText="1"/>
    </xf>
    <xf numFmtId="0" fontId="7" fillId="6" borderId="11" xfId="2" applyFill="1" applyBorder="1" applyAlignment="1">
      <alignment horizontal="center" wrapText="1"/>
    </xf>
    <xf numFmtId="0" fontId="7" fillId="6" borderId="14" xfId="2" applyFill="1" applyBorder="1" applyAlignment="1">
      <alignment horizontal="center" wrapText="1"/>
    </xf>
    <xf numFmtId="0" fontId="7" fillId="6" borderId="18" xfId="2" applyFill="1" applyBorder="1" applyAlignment="1">
      <alignment horizontal="center" wrapText="1"/>
    </xf>
    <xf numFmtId="0" fontId="2" fillId="6" borderId="12" xfId="2" applyFont="1" applyFill="1" applyBorder="1" applyAlignment="1">
      <alignment horizontal="center" wrapText="1"/>
    </xf>
    <xf numFmtId="0" fontId="7" fillId="6" borderId="4" xfId="2" applyFill="1" applyBorder="1" applyAlignment="1">
      <alignment horizontal="center" wrapText="1"/>
    </xf>
    <xf numFmtId="0" fontId="7" fillId="6" borderId="19" xfId="2" applyFill="1" applyBorder="1" applyAlignment="1">
      <alignment horizontal="center" wrapText="1"/>
    </xf>
    <xf numFmtId="0" fontId="7" fillId="6" borderId="12" xfId="2" applyFill="1" applyBorder="1" applyAlignment="1">
      <alignment horizontal="center"/>
    </xf>
    <xf numFmtId="0" fontId="7" fillId="6" borderId="13" xfId="2" applyFill="1" applyBorder="1" applyAlignment="1">
      <alignment horizontal="center"/>
    </xf>
    <xf numFmtId="0" fontId="7" fillId="6" borderId="15" xfId="2" applyFill="1" applyBorder="1" applyAlignment="1">
      <alignment horizontal="center" wrapText="1"/>
    </xf>
    <xf numFmtId="0" fontId="7" fillId="6" borderId="20" xfId="2" applyFill="1" applyBorder="1" applyAlignment="1">
      <alignment horizontal="center" wrapText="1"/>
    </xf>
    <xf numFmtId="0" fontId="7" fillId="6" borderId="4" xfId="2" applyFill="1" applyBorder="1" applyAlignment="1">
      <alignment horizontal="center"/>
    </xf>
    <xf numFmtId="0" fontId="2" fillId="3" borderId="0" xfId="2" applyFont="1" applyFill="1" applyAlignment="1">
      <alignment horizontal="center" vertical="center"/>
    </xf>
    <xf numFmtId="0" fontId="7" fillId="3" borderId="0" xfId="2" applyFill="1" applyAlignment="1">
      <alignment horizontal="center" vertical="center"/>
    </xf>
    <xf numFmtId="0" fontId="2" fillId="7" borderId="0" xfId="2" applyFont="1" applyFill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7" fillId="0" borderId="0" xfId="2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/>
    </xf>
    <xf numFmtId="0" fontId="14" fillId="0" borderId="2" xfId="0" applyFont="1" applyFill="1" applyBorder="1" applyAlignment="1" applyProtection="1">
      <alignment horizontal="center"/>
    </xf>
    <xf numFmtId="0" fontId="14" fillId="0" borderId="3" xfId="0" applyFont="1" applyFill="1" applyBorder="1" applyAlignment="1" applyProtection="1">
      <alignment horizontal="center"/>
    </xf>
    <xf numFmtId="0" fontId="14" fillId="0" borderId="31" xfId="0" applyFont="1" applyFill="1" applyBorder="1" applyAlignment="1" applyProtection="1">
      <alignment horizontal="center" vertical="center"/>
    </xf>
    <xf numFmtId="0" fontId="14" fillId="0" borderId="33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center" vertical="center"/>
    </xf>
    <xf numFmtId="0" fontId="14" fillId="0" borderId="8" xfId="0" applyFont="1" applyFill="1" applyBorder="1" applyAlignment="1" applyProtection="1">
      <alignment horizontal="center" vertical="center"/>
    </xf>
    <xf numFmtId="0" fontId="14" fillId="0" borderId="36" xfId="0" applyFont="1" applyFill="1" applyBorder="1" applyAlignment="1" applyProtection="1">
      <alignment horizontal="center" vertical="center"/>
    </xf>
    <xf numFmtId="0" fontId="14" fillId="0" borderId="37" xfId="0" applyFont="1" applyFill="1" applyBorder="1" applyAlignment="1" applyProtection="1">
      <alignment horizontal="center" vertical="center"/>
    </xf>
    <xf numFmtId="0" fontId="14" fillId="0" borderId="19" xfId="0" applyFont="1" applyFill="1" applyBorder="1" applyAlignment="1" applyProtection="1">
      <alignment horizontal="center" vertical="center"/>
    </xf>
    <xf numFmtId="0" fontId="14" fillId="0" borderId="24" xfId="0" applyFont="1" applyFill="1" applyBorder="1" applyAlignment="1" applyProtection="1">
      <alignment horizontal="center" vertical="center"/>
    </xf>
    <xf numFmtId="0" fontId="0" fillId="10" borderId="0" xfId="0" applyFill="1" applyAlignment="1">
      <alignment horizontal="center" wrapText="1"/>
    </xf>
    <xf numFmtId="0" fontId="0" fillId="9" borderId="0" xfId="0" applyFill="1" applyAlignment="1">
      <alignment horizontal="center"/>
    </xf>
    <xf numFmtId="0" fontId="0" fillId="9" borderId="31" xfId="0" applyFill="1" applyBorder="1" applyAlignment="1">
      <alignment horizontal="center" wrapText="1"/>
    </xf>
    <xf numFmtId="0" fontId="0" fillId="9" borderId="32" xfId="0" applyFill="1" applyBorder="1" applyAlignment="1">
      <alignment horizontal="center" wrapText="1"/>
    </xf>
    <xf numFmtId="0" fontId="0" fillId="9" borderId="36" xfId="0" applyFill="1" applyBorder="1" applyAlignment="1">
      <alignment horizontal="center" wrapText="1"/>
    </xf>
    <xf numFmtId="0" fontId="0" fillId="9" borderId="9" xfId="0" applyFill="1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16" fillId="0" borderId="1" xfId="0" applyFont="1" applyFill="1" applyBorder="1" applyAlignment="1" applyProtection="1">
      <alignment horizontal="left"/>
    </xf>
    <xf numFmtId="0" fontId="16" fillId="0" borderId="3" xfId="0" applyFont="1" applyFill="1" applyBorder="1" applyAlignment="1" applyProtection="1">
      <alignment horizontal="left"/>
    </xf>
    <xf numFmtId="0" fontId="16" fillId="0" borderId="2" xfId="0" applyFont="1" applyFill="1" applyBorder="1" applyAlignment="1" applyProtection="1">
      <alignment horizontal="left"/>
    </xf>
    <xf numFmtId="0" fontId="20" fillId="0" borderId="1" xfId="0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horizontal="center"/>
    </xf>
    <xf numFmtId="0" fontId="19" fillId="0" borderId="3" xfId="0" applyFont="1" applyFill="1" applyBorder="1" applyAlignment="1" applyProtection="1">
      <alignment horizontal="center"/>
    </xf>
    <xf numFmtId="0" fontId="19" fillId="0" borderId="2" xfId="0" applyFont="1" applyFill="1" applyBorder="1" applyAlignment="1" applyProtection="1">
      <alignment horizontal="center"/>
    </xf>
    <xf numFmtId="0" fontId="21" fillId="0" borderId="7" xfId="0" applyFont="1" applyFill="1" applyBorder="1" applyAlignment="1" applyProtection="1">
      <alignment horizontal="center" vertical="center" wrapText="1"/>
    </xf>
    <xf numFmtId="0" fontId="21" fillId="0" borderId="31" xfId="0" applyFont="1" applyFill="1" applyBorder="1" applyAlignment="1" applyProtection="1">
      <alignment horizontal="center" vertical="center"/>
    </xf>
    <xf numFmtId="0" fontId="21" fillId="0" borderId="32" xfId="0" applyFont="1" applyFill="1" applyBorder="1" applyAlignment="1" applyProtection="1">
      <alignment horizontal="center" vertical="center"/>
    </xf>
    <xf numFmtId="0" fontId="21" fillId="0" borderId="33" xfId="0" applyFont="1" applyFill="1" applyBorder="1" applyAlignment="1" applyProtection="1">
      <alignment horizontal="center" vertical="center"/>
    </xf>
    <xf numFmtId="0" fontId="21" fillId="0" borderId="36" xfId="0" applyFont="1" applyFill="1" applyBorder="1" applyAlignment="1" applyProtection="1">
      <alignment horizontal="center" vertical="center"/>
    </xf>
    <xf numFmtId="0" fontId="21" fillId="0" borderId="9" xfId="0" applyFont="1" applyFill="1" applyBorder="1" applyAlignment="1" applyProtection="1">
      <alignment horizontal="center" vertical="center"/>
    </xf>
    <xf numFmtId="0" fontId="21" fillId="0" borderId="37" xfId="0" applyFont="1" applyFill="1" applyBorder="1" applyAlignment="1" applyProtection="1">
      <alignment horizontal="center" vertical="center"/>
    </xf>
    <xf numFmtId="0" fontId="52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0" fillId="12" borderId="53" xfId="0" applyFill="1" applyBorder="1" applyAlignment="1">
      <alignment horizontal="center" vertical="center"/>
    </xf>
    <xf numFmtId="0" fontId="0" fillId="12" borderId="54" xfId="0" applyFill="1" applyBorder="1" applyAlignment="1">
      <alignment horizontal="center" vertical="center"/>
    </xf>
    <xf numFmtId="0" fontId="1" fillId="12" borderId="53" xfId="0" applyFont="1" applyFill="1" applyBorder="1" applyAlignment="1">
      <alignment horizontal="left" vertical="center"/>
    </xf>
    <xf numFmtId="0" fontId="1" fillId="12" borderId="54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center"/>
    </xf>
    <xf numFmtId="0" fontId="1" fillId="12" borderId="28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0" fillId="6" borderId="72" xfId="0" applyFill="1" applyBorder="1" applyAlignment="1">
      <alignment horizontal="left" vertical="center" wrapText="1" indent="4"/>
    </xf>
    <xf numFmtId="0" fontId="0" fillId="6" borderId="73" xfId="0" applyFill="1" applyBorder="1" applyAlignment="1">
      <alignment horizontal="left" vertical="center" wrapText="1" indent="4"/>
    </xf>
    <xf numFmtId="0" fontId="0" fillId="6" borderId="74" xfId="0" applyFill="1" applyBorder="1" applyAlignment="1">
      <alignment horizontal="left" vertical="center" wrapText="1" indent="4"/>
    </xf>
    <xf numFmtId="0" fontId="0" fillId="6" borderId="78" xfId="0" applyFill="1" applyBorder="1" applyAlignment="1">
      <alignment horizontal="left" vertical="center" wrapText="1" indent="4"/>
    </xf>
    <xf numFmtId="0" fontId="0" fillId="6" borderId="79" xfId="0" applyFill="1" applyBorder="1" applyAlignment="1">
      <alignment horizontal="left" vertical="center" wrapText="1" indent="4"/>
    </xf>
    <xf numFmtId="0" fontId="0" fillId="6" borderId="80" xfId="0" applyFill="1" applyBorder="1" applyAlignment="1">
      <alignment horizontal="left" vertical="center" wrapText="1" indent="4"/>
    </xf>
    <xf numFmtId="0" fontId="0" fillId="6" borderId="75" xfId="0" applyFill="1" applyBorder="1" applyAlignment="1">
      <alignment horizontal="center" vertical="top" wrapText="1"/>
    </xf>
    <xf numFmtId="0" fontId="0" fillId="6" borderId="76" xfId="0" applyFill="1" applyBorder="1" applyAlignment="1">
      <alignment horizontal="center" vertical="top" wrapText="1"/>
    </xf>
    <xf numFmtId="0" fontId="0" fillId="6" borderId="77" xfId="0" applyFill="1" applyBorder="1" applyAlignment="1">
      <alignment horizontal="center" vertical="top" wrapText="1"/>
    </xf>
    <xf numFmtId="0" fontId="70" fillId="6" borderId="75" xfId="0" applyFont="1" applyFill="1" applyBorder="1" applyAlignment="1">
      <alignment horizontal="center" vertical="center" wrapText="1"/>
    </xf>
    <xf numFmtId="0" fontId="70" fillId="6" borderId="77" xfId="0" applyFont="1" applyFill="1" applyBorder="1" applyAlignment="1">
      <alignment horizontal="center" vertical="center" wrapText="1"/>
    </xf>
    <xf numFmtId="0" fontId="0" fillId="6" borderId="75" xfId="0" applyFill="1" applyBorder="1" applyAlignment="1">
      <alignment horizontal="center" vertical="center" wrapText="1"/>
    </xf>
    <xf numFmtId="0" fontId="0" fillId="6" borderId="77" xfId="0" applyFill="1" applyBorder="1" applyAlignment="1">
      <alignment horizontal="center" vertical="center" wrapText="1"/>
    </xf>
    <xf numFmtId="1" fontId="66" fillId="6" borderId="75" xfId="0" applyNumberFormat="1" applyFont="1" applyFill="1" applyBorder="1" applyAlignment="1">
      <alignment horizontal="center" vertical="center" shrinkToFit="1"/>
    </xf>
    <xf numFmtId="1" fontId="66" fillId="6" borderId="77" xfId="0" applyNumberFormat="1" applyFont="1" applyFill="1" applyBorder="1" applyAlignment="1">
      <alignment horizontal="center" vertical="center" shrinkToFit="1"/>
    </xf>
    <xf numFmtId="1" fontId="68" fillId="6" borderId="75" xfId="0" applyNumberFormat="1" applyFont="1" applyFill="1" applyBorder="1" applyAlignment="1">
      <alignment horizontal="center" vertical="center" shrinkToFit="1"/>
    </xf>
    <xf numFmtId="1" fontId="68" fillId="6" borderId="77" xfId="0" applyNumberFormat="1" applyFont="1" applyFill="1" applyBorder="1" applyAlignment="1">
      <alignment horizontal="center" vertical="center" shrinkToFit="1"/>
    </xf>
    <xf numFmtId="0" fontId="1" fillId="12" borderId="53" xfId="0" applyFont="1" applyFill="1" applyBorder="1" applyAlignment="1">
      <alignment horizontal="center" vertical="center"/>
    </xf>
    <xf numFmtId="0" fontId="1" fillId="12" borderId="54" xfId="0" applyFont="1" applyFill="1" applyBorder="1" applyAlignment="1">
      <alignment horizontal="center" vertical="center"/>
    </xf>
    <xf numFmtId="0" fontId="0" fillId="12" borderId="56" xfId="0" applyFill="1" applyBorder="1" applyAlignment="1">
      <alignment horizontal="center" vertical="center"/>
    </xf>
    <xf numFmtId="0" fontId="0" fillId="12" borderId="67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 wrapText="1"/>
    </xf>
    <xf numFmtId="164" fontId="76" fillId="7" borderId="75" xfId="0" applyNumberFormat="1" applyFont="1" applyFill="1" applyBorder="1" applyAlignment="1">
      <alignment horizontal="center" vertical="center" shrinkToFit="1"/>
    </xf>
    <xf numFmtId="164" fontId="76" fillId="7" borderId="77" xfId="0" applyNumberFormat="1" applyFont="1" applyFill="1" applyBorder="1" applyAlignment="1">
      <alignment horizontal="center" vertical="center" shrinkToFit="1"/>
    </xf>
    <xf numFmtId="0" fontId="74" fillId="7" borderId="81" xfId="0" applyFont="1" applyFill="1" applyBorder="1" applyAlignment="1">
      <alignment horizontal="left" vertical="center" wrapText="1"/>
    </xf>
    <xf numFmtId="0" fontId="74" fillId="7" borderId="76" xfId="0" applyFont="1" applyFill="1" applyBorder="1" applyAlignment="1">
      <alignment horizontal="left" vertical="center" wrapText="1"/>
    </xf>
    <xf numFmtId="0" fontId="74" fillId="7" borderId="7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 indent="1"/>
    </xf>
    <xf numFmtId="0" fontId="0" fillId="6" borderId="82" xfId="0" applyFill="1" applyBorder="1" applyAlignment="1">
      <alignment horizontal="center" vertical="center" wrapText="1"/>
    </xf>
    <xf numFmtId="0" fontId="0" fillId="6" borderId="84" xfId="0" applyFill="1" applyBorder="1" applyAlignment="1">
      <alignment horizontal="center" vertical="center" wrapText="1"/>
    </xf>
    <xf numFmtId="0" fontId="0" fillId="6" borderId="91" xfId="0" applyFill="1" applyBorder="1" applyAlignment="1">
      <alignment horizontal="center" vertical="center" wrapText="1"/>
    </xf>
    <xf numFmtId="0" fontId="80" fillId="6" borderId="75" xfId="0" applyFont="1" applyFill="1" applyBorder="1" applyAlignment="1">
      <alignment horizontal="center" vertical="top" wrapText="1"/>
    </xf>
    <xf numFmtId="0" fontId="80" fillId="6" borderId="76" xfId="0" applyFont="1" applyFill="1" applyBorder="1" applyAlignment="1">
      <alignment horizontal="center" vertical="top" wrapText="1"/>
    </xf>
    <xf numFmtId="0" fontId="80" fillId="6" borderId="77" xfId="0" applyFont="1" applyFill="1" applyBorder="1" applyAlignment="1">
      <alignment horizontal="center" vertical="top" wrapText="1"/>
    </xf>
    <xf numFmtId="0" fontId="80" fillId="6" borderId="83" xfId="0" applyFont="1" applyFill="1" applyBorder="1" applyAlignment="1">
      <alignment horizontal="left" wrapText="1" indent="1"/>
    </xf>
    <xf numFmtId="0" fontId="80" fillId="6" borderId="74" xfId="0" applyFont="1" applyFill="1" applyBorder="1" applyAlignment="1">
      <alignment horizontal="left" wrapText="1" indent="1"/>
    </xf>
    <xf numFmtId="0" fontId="80" fillId="6" borderId="88" xfId="0" applyFont="1" applyFill="1" applyBorder="1" applyAlignment="1">
      <alignment horizontal="left" wrapText="1" indent="1"/>
    </xf>
    <xf numFmtId="0" fontId="80" fillId="6" borderId="89" xfId="0" applyFont="1" applyFill="1" applyBorder="1" applyAlignment="1">
      <alignment horizontal="left" wrapText="1" indent="1"/>
    </xf>
    <xf numFmtId="0" fontId="80" fillId="6" borderId="95" xfId="0" applyFont="1" applyFill="1" applyBorder="1" applyAlignment="1">
      <alignment horizontal="left" wrapText="1" indent="1"/>
    </xf>
    <xf numFmtId="0" fontId="80" fillId="6" borderId="80" xfId="0" applyFont="1" applyFill="1" applyBorder="1" applyAlignment="1">
      <alignment horizontal="left" wrapText="1" indent="1"/>
    </xf>
    <xf numFmtId="0" fontId="0" fillId="6" borderId="85" xfId="0" applyFill="1" applyBorder="1" applyAlignment="1">
      <alignment horizontal="left" vertical="top" wrapText="1" indent="3"/>
    </xf>
    <xf numFmtId="0" fontId="0" fillId="6" borderId="86" xfId="0" applyFill="1" applyBorder="1" applyAlignment="1">
      <alignment horizontal="left" vertical="top" wrapText="1" indent="3"/>
    </xf>
    <xf numFmtId="0" fontId="0" fillId="6" borderId="87" xfId="0" applyFill="1" applyBorder="1" applyAlignment="1">
      <alignment horizontal="left" vertical="top" wrapText="1" indent="3"/>
    </xf>
    <xf numFmtId="0" fontId="80" fillId="6" borderId="83" xfId="0" applyFont="1" applyFill="1" applyBorder="1" applyAlignment="1">
      <alignment horizontal="center" wrapText="1"/>
    </xf>
    <xf numFmtId="0" fontId="80" fillId="6" borderId="74" xfId="0" applyFont="1" applyFill="1" applyBorder="1" applyAlignment="1">
      <alignment horizontal="center" wrapText="1"/>
    </xf>
    <xf numFmtId="0" fontId="80" fillId="6" borderId="95" xfId="0" applyFont="1" applyFill="1" applyBorder="1" applyAlignment="1">
      <alignment horizontal="center" wrapText="1"/>
    </xf>
    <xf numFmtId="0" fontId="80" fillId="6" borderId="80" xfId="0" applyFont="1" applyFill="1" applyBorder="1" applyAlignment="1">
      <alignment horizontal="center" wrapText="1"/>
    </xf>
    <xf numFmtId="0" fontId="80" fillId="6" borderId="90" xfId="0" applyFont="1" applyFill="1" applyBorder="1" applyAlignment="1">
      <alignment horizontal="left" wrapText="1" indent="2"/>
    </xf>
    <xf numFmtId="0" fontId="80" fillId="6" borderId="96" xfId="0" applyFont="1" applyFill="1" applyBorder="1" applyAlignment="1">
      <alignment horizontal="left" wrapText="1" indent="2"/>
    </xf>
    <xf numFmtId="0" fontId="0" fillId="6" borderId="93" xfId="0" applyFill="1" applyBorder="1" applyAlignment="1">
      <alignment horizontal="left" vertical="center" wrapText="1" indent="1"/>
    </xf>
    <xf numFmtId="0" fontId="0" fillId="6" borderId="94" xfId="0" applyFill="1" applyBorder="1" applyAlignment="1">
      <alignment horizontal="left" vertical="center" wrapText="1" indent="1"/>
    </xf>
    <xf numFmtId="0" fontId="0" fillId="6" borderId="93" xfId="0" applyFill="1" applyBorder="1" applyAlignment="1">
      <alignment horizontal="center" vertical="center" wrapText="1"/>
    </xf>
    <xf numFmtId="0" fontId="0" fillId="6" borderId="94" xfId="0" applyFill="1" applyBorder="1" applyAlignment="1">
      <alignment horizontal="center" vertical="center" wrapText="1"/>
    </xf>
    <xf numFmtId="0" fontId="0" fillId="6" borderId="93" xfId="0" applyFill="1" applyBorder="1" applyAlignment="1">
      <alignment horizontal="left" vertical="center" wrapText="1"/>
    </xf>
    <xf numFmtId="0" fontId="0" fillId="6" borderId="94" xfId="0" applyFill="1" applyBorder="1" applyAlignment="1">
      <alignment horizontal="left" vertical="center" wrapText="1"/>
    </xf>
    <xf numFmtId="0" fontId="82" fillId="7" borderId="75" xfId="0" applyFont="1" applyFill="1" applyBorder="1" applyAlignment="1">
      <alignment horizontal="center" vertical="center" wrapText="1"/>
    </xf>
    <xf numFmtId="0" fontId="82" fillId="7" borderId="77" xfId="0" applyFont="1" applyFill="1" applyBorder="1" applyAlignment="1">
      <alignment horizontal="center" vertical="center" wrapText="1"/>
    </xf>
    <xf numFmtId="1" fontId="76" fillId="7" borderId="75" xfId="0" applyNumberFormat="1" applyFont="1" applyFill="1" applyBorder="1" applyAlignment="1">
      <alignment horizontal="center" vertical="center" shrinkToFit="1"/>
    </xf>
    <xf numFmtId="1" fontId="76" fillId="7" borderId="77" xfId="0" applyNumberFormat="1" applyFont="1" applyFill="1" applyBorder="1" applyAlignment="1">
      <alignment horizontal="center" vertical="center" shrinkToFit="1"/>
    </xf>
    <xf numFmtId="0" fontId="70" fillId="7" borderId="75" xfId="0" applyFont="1" applyFill="1" applyBorder="1" applyAlignment="1">
      <alignment horizontal="center" vertical="center" wrapText="1"/>
    </xf>
    <xf numFmtId="0" fontId="70" fillId="7" borderId="77" xfId="0" applyFont="1" applyFill="1" applyBorder="1" applyAlignment="1">
      <alignment horizontal="center" vertical="center" wrapText="1"/>
    </xf>
    <xf numFmtId="2" fontId="90" fillId="0" borderId="0" xfId="5" applyNumberFormat="1" applyBorder="1" applyAlignment="1" applyProtection="1">
      <alignment horizontal="center" vertical="center" wrapText="1" shrinkToFit="1"/>
      <protection locked="0"/>
    </xf>
  </cellXfs>
  <cellStyles count="6">
    <cellStyle name="Hyperlink" xfId="5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00000000-0005-0000-0000-000003000000}"/>
    <cellStyle name="Normal_Main-Bldg" xfId="3" xr:uid="{00000000-0005-0000-0000-000004000000}"/>
  </cellStyles>
  <dxfs count="3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772886</xdr:colOff>
      <xdr:row>0</xdr:row>
      <xdr:rowOff>48986</xdr:rowOff>
    </xdr:from>
    <xdr:to>
      <xdr:col>1</xdr:col>
      <xdr:colOff>5370499</xdr:colOff>
      <xdr:row>5</xdr:row>
      <xdr:rowOff>329454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18B50F-B5C6-4E14-9E70-DA31CDB0F6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" t="32111" r="2385" b="32810"/>
        <a:stretch/>
      </xdr:blipFill>
      <xdr:spPr>
        <a:xfrm>
          <a:off x="936172" y="48986"/>
          <a:ext cx="4597613" cy="1760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409816</xdr:colOff>
      <xdr:row>4</xdr:row>
      <xdr:rowOff>165569</xdr:rowOff>
    </xdr:from>
    <xdr:to>
      <xdr:col>8</xdr:col>
      <xdr:colOff>3176067</xdr:colOff>
      <xdr:row>11</xdr:row>
      <xdr:rowOff>172892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4898F3-8C02-45ED-82BD-5BDC694A9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" t="32111" r="2385" b="32810"/>
        <a:stretch/>
      </xdr:blipFill>
      <xdr:spPr>
        <a:xfrm>
          <a:off x="6998875" y="927569"/>
          <a:ext cx="3412991" cy="1307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562429</xdr:colOff>
      <xdr:row>5</xdr:row>
      <xdr:rowOff>18144</xdr:rowOff>
    </xdr:from>
    <xdr:to>
      <xdr:col>8</xdr:col>
      <xdr:colOff>3289905</xdr:colOff>
      <xdr:row>11</xdr:row>
      <xdr:rowOff>185775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C5289F-6214-40BA-BDC6-8687850218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" t="32111" r="2385" b="32810"/>
        <a:stretch/>
      </xdr:blipFill>
      <xdr:spPr>
        <a:xfrm>
          <a:off x="6942667" y="973667"/>
          <a:ext cx="3374571" cy="12924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</xdr:colOff>
      <xdr:row>13</xdr:row>
      <xdr:rowOff>129540</xdr:rowOff>
    </xdr:from>
    <xdr:to>
      <xdr:col>8</xdr:col>
      <xdr:colOff>505968</xdr:colOff>
      <xdr:row>15</xdr:row>
      <xdr:rowOff>38100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151120" y="2316480"/>
          <a:ext cx="978408" cy="243840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 editAs="oneCell">
    <xdr:from>
      <xdr:col>3</xdr:col>
      <xdr:colOff>441960</xdr:colOff>
      <xdr:row>34</xdr:row>
      <xdr:rowOff>76200</xdr:rowOff>
    </xdr:from>
    <xdr:to>
      <xdr:col>9</xdr:col>
      <xdr:colOff>289560</xdr:colOff>
      <xdr:row>39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5852160"/>
          <a:ext cx="4046220" cy="944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24</xdr:row>
      <xdr:rowOff>68580</xdr:rowOff>
    </xdr:from>
    <xdr:to>
      <xdr:col>17</xdr:col>
      <xdr:colOff>0</xdr:colOff>
      <xdr:row>25</xdr:row>
      <xdr:rowOff>167640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 flipV="1">
          <a:off x="12580620" y="4457700"/>
          <a:ext cx="0" cy="28194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J03-08700\PRODUCTION\BLDGS\MC\MC11\DOCS\CALC\PG\KKU%20CALC.-J03-08700%20MC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J02-12500\DWG\SITE\PG\CALC\Calculation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g\Granada_fctfu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22-Calculations%20Sheets%20For%20All%20MEP%20Works\001%20My%20Calculation%20Sheets\00.MEP_SHEETS%20INDE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0.MEP_SHEETS%20INDEX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EP_CWS%20&amp;%20HWS_Pipe%20Sizer%20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REFERENCES"/>
      <sheetName val="ABBREVIATIONS"/>
      <sheetName val="FIXTURE COUNT"/>
      <sheetName val="HOT WATER EXCHANGER"/>
      <sheetName val="FM-200"/>
      <sheetName val="Remote Control Valves (LAWN)"/>
      <sheetName val="Remote Control Valve (PLG)"/>
      <sheetName val="SUMP PITS PUMPS"/>
      <sheetName val="flow rate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REF"/>
      <sheetName val="ABB"/>
      <sheetName val="Daily Water Demand"/>
      <sheetName val="POTABLE &amp; FIRE WATER TANKS"/>
      <sheetName val="RAW WATER TANK"/>
      <sheetName val="IRRIGATION TANK"/>
      <sheetName val="POTABLE WATER PUMPS"/>
      <sheetName val="FIRE PUMPS"/>
      <sheetName val="RAW WATER PUMPS"/>
      <sheetName val="IRRIGATION PUMPS"/>
      <sheetName val="HOLDING TAN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_tab"/>
      <sheetName val="2-pipes_sys"/>
      <sheetName val="Granada_fctfuv"/>
    </sheetNames>
    <definedNames>
      <definedName name="e_depth"/>
    </defined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_2"/>
      <sheetName val="SHEETS INDEX"/>
      <sheetName val="COLOR CODE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_2"/>
      <sheetName val="SHEETS INDEX"/>
      <sheetName val="COLOR CODE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WS PIPE SIZER"/>
      <sheetName val="HWS PIPE SIZER"/>
      <sheetName val="DATA SHEET"/>
      <sheetName val="Fittings Eq.Length CALCS."/>
      <sheetName val="FIXs. &amp; EQUIPMENT"/>
      <sheetName val="STD PIPE SIZE"/>
      <sheetName val="P. SIZING-FT"/>
      <sheetName val="P. Sizing -FV"/>
      <sheetName val="FIXTURE UNITS"/>
      <sheetName val="PIPE SIZE AS PER GPM"/>
      <sheetName val="Fittings Equivalent Length"/>
    </sheetNames>
    <sheetDataSet>
      <sheetData sheetId="0"/>
      <sheetData sheetId="1"/>
      <sheetData sheetId="2">
        <row r="17">
          <cell r="L17">
            <v>9.4</v>
          </cell>
        </row>
        <row r="18">
          <cell r="L18">
            <v>9.4</v>
          </cell>
        </row>
        <row r="19">
          <cell r="L19">
            <v>9.4</v>
          </cell>
        </row>
        <row r="20">
          <cell r="L20">
            <v>9.4</v>
          </cell>
        </row>
        <row r="21">
          <cell r="L21">
            <v>9.4</v>
          </cell>
        </row>
        <row r="22">
          <cell r="L22">
            <v>9.4</v>
          </cell>
        </row>
        <row r="23">
          <cell r="L23">
            <v>9.4</v>
          </cell>
        </row>
        <row r="24">
          <cell r="L24">
            <v>9.4</v>
          </cell>
        </row>
        <row r="25">
          <cell r="L25">
            <v>9.4</v>
          </cell>
        </row>
        <row r="26">
          <cell r="L26">
            <v>9.4</v>
          </cell>
        </row>
        <row r="27">
          <cell r="L27">
            <v>9.4</v>
          </cell>
        </row>
        <row r="28">
          <cell r="L28">
            <v>9.4</v>
          </cell>
        </row>
        <row r="29">
          <cell r="L29">
            <v>9.4</v>
          </cell>
        </row>
        <row r="30">
          <cell r="L30">
            <v>9.4</v>
          </cell>
        </row>
        <row r="31">
          <cell r="L31">
            <v>9.4</v>
          </cell>
        </row>
        <row r="32">
          <cell r="L32">
            <v>9.4</v>
          </cell>
        </row>
        <row r="33">
          <cell r="L33">
            <v>9.4</v>
          </cell>
        </row>
        <row r="34">
          <cell r="L34">
            <v>9.4</v>
          </cell>
        </row>
        <row r="35">
          <cell r="L35">
            <v>9.4</v>
          </cell>
        </row>
        <row r="36">
          <cell r="L36">
            <v>9.4</v>
          </cell>
        </row>
        <row r="37">
          <cell r="L37">
            <v>9.4</v>
          </cell>
        </row>
        <row r="38">
          <cell r="L38">
            <v>9.4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</sheetData>
      <sheetData sheetId="3"/>
      <sheetData sheetId="4"/>
      <sheetData sheetId="5"/>
      <sheetData sheetId="6">
        <row r="8">
          <cell r="G8">
            <v>0</v>
          </cell>
          <cell r="H8">
            <v>0</v>
          </cell>
        </row>
        <row r="9">
          <cell r="G9">
            <v>20</v>
          </cell>
          <cell r="H9">
            <v>14.4</v>
          </cell>
        </row>
        <row r="10">
          <cell r="G10">
            <v>25</v>
          </cell>
          <cell r="H10">
            <v>18</v>
          </cell>
        </row>
        <row r="11">
          <cell r="G11">
            <v>32</v>
          </cell>
          <cell r="H11">
            <v>23.2</v>
          </cell>
        </row>
        <row r="12">
          <cell r="G12">
            <v>40</v>
          </cell>
          <cell r="H12">
            <v>29</v>
          </cell>
        </row>
        <row r="13">
          <cell r="G13">
            <v>50</v>
          </cell>
          <cell r="H13">
            <v>36.200000000000003</v>
          </cell>
        </row>
        <row r="14">
          <cell r="G14">
            <v>63</v>
          </cell>
          <cell r="H14">
            <v>45.8</v>
          </cell>
        </row>
        <row r="15">
          <cell r="G15">
            <v>75</v>
          </cell>
          <cell r="H15">
            <v>54.4</v>
          </cell>
        </row>
        <row r="16">
          <cell r="G16">
            <v>90</v>
          </cell>
          <cell r="H16">
            <v>60</v>
          </cell>
        </row>
        <row r="17">
          <cell r="G17">
            <v>110</v>
          </cell>
          <cell r="H17">
            <v>79.8</v>
          </cell>
        </row>
        <row r="18">
          <cell r="G18">
            <v>125</v>
          </cell>
          <cell r="H18">
            <v>90.8</v>
          </cell>
        </row>
        <row r="19">
          <cell r="G19">
            <v>160</v>
          </cell>
          <cell r="H19">
            <v>116.2</v>
          </cell>
        </row>
        <row r="20">
          <cell r="G20">
            <v>200</v>
          </cell>
          <cell r="H20">
            <v>145.19999999999999</v>
          </cell>
        </row>
        <row r="21">
          <cell r="G21">
            <v>250</v>
          </cell>
          <cell r="H21">
            <v>181.6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pextra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B36"/>
  <sheetViews>
    <sheetView showGridLines="0" view="pageBreakPreview" zoomScaleNormal="100" zoomScaleSheetLayoutView="100" workbookViewId="0">
      <selection activeCell="F11" sqref="F11"/>
    </sheetView>
  </sheetViews>
  <sheetFormatPr defaultRowHeight="15.45" x14ac:dyDescent="0.4"/>
  <cols>
    <col min="1" max="1" width="2.3046875" customWidth="1"/>
    <col min="2" max="2" width="89.3046875" style="143" customWidth="1"/>
    <col min="3" max="3" width="3" customWidth="1"/>
  </cols>
  <sheetData>
    <row r="1" spans="1:2" x14ac:dyDescent="0.4">
      <c r="A1" s="135"/>
      <c r="B1" s="136"/>
    </row>
    <row r="2" spans="1:2" x14ac:dyDescent="0.4">
      <c r="A2" s="135"/>
      <c r="B2" s="136"/>
    </row>
    <row r="3" spans="1:2" ht="26.6" x14ac:dyDescent="0.4">
      <c r="B3" s="137"/>
    </row>
    <row r="4" spans="1:2" ht="29.6" x14ac:dyDescent="0.4">
      <c r="B4" s="138"/>
    </row>
    <row r="5" spans="1:2" ht="29.6" x14ac:dyDescent="0.4">
      <c r="B5" s="138"/>
    </row>
    <row r="6" spans="1:2" ht="29.6" x14ac:dyDescent="0.4">
      <c r="B6" s="138"/>
    </row>
    <row r="7" spans="1:2" ht="14.6" x14ac:dyDescent="0.4">
      <c r="B7" s="508" t="s">
        <v>394</v>
      </c>
    </row>
    <row r="8" spans="1:2" ht="29.6" x14ac:dyDescent="0.4">
      <c r="B8" s="138" t="s">
        <v>207</v>
      </c>
    </row>
    <row r="9" spans="1:2" ht="29.6" x14ac:dyDescent="0.4">
      <c r="A9" s="140"/>
      <c r="B9" s="139" t="s">
        <v>208</v>
      </c>
    </row>
    <row r="10" spans="1:2" ht="26.6" x14ac:dyDescent="0.4">
      <c r="B10" s="141" t="s">
        <v>209</v>
      </c>
    </row>
    <row r="11" spans="1:2" ht="29.6" x14ac:dyDescent="0.4">
      <c r="A11" s="142"/>
      <c r="B11" s="139" t="s">
        <v>210</v>
      </c>
    </row>
    <row r="12" spans="1:2" ht="21" customHeight="1" x14ac:dyDescent="0.4"/>
    <row r="13" spans="1:2" ht="29.6" x14ac:dyDescent="0.4">
      <c r="B13" s="138" t="s">
        <v>211</v>
      </c>
    </row>
    <row r="14" spans="1:2" ht="20.149999999999999" x14ac:dyDescent="0.4">
      <c r="B14" s="144" t="s">
        <v>212</v>
      </c>
    </row>
    <row r="15" spans="1:2" ht="20.149999999999999" x14ac:dyDescent="0.4">
      <c r="B15" s="144" t="s">
        <v>213</v>
      </c>
    </row>
    <row r="16" spans="1:2" ht="20.149999999999999" x14ac:dyDescent="0.4">
      <c r="B16" s="144" t="s">
        <v>214</v>
      </c>
    </row>
    <row r="17" spans="2:2" ht="20.149999999999999" x14ac:dyDescent="0.4">
      <c r="B17" s="151" t="s">
        <v>215</v>
      </c>
    </row>
    <row r="18" spans="2:2" ht="20.149999999999999" x14ac:dyDescent="0.4">
      <c r="B18" s="144" t="s">
        <v>216</v>
      </c>
    </row>
    <row r="19" spans="2:2" ht="20.149999999999999" x14ac:dyDescent="0.4">
      <c r="B19" s="144" t="s">
        <v>217</v>
      </c>
    </row>
    <row r="20" spans="2:2" ht="20.149999999999999" hidden="1" x14ac:dyDescent="0.4">
      <c r="B20" s="144"/>
    </row>
    <row r="21" spans="2:2" ht="35.6" hidden="1" x14ac:dyDescent="0.4">
      <c r="B21" s="145" t="s">
        <v>218</v>
      </c>
    </row>
    <row r="22" spans="2:2" ht="20.149999999999999" hidden="1" x14ac:dyDescent="0.4">
      <c r="B22" s="144" t="s">
        <v>219</v>
      </c>
    </row>
    <row r="23" spans="2:2" ht="20.149999999999999" hidden="1" x14ac:dyDescent="0.4">
      <c r="B23" s="144" t="s">
        <v>220</v>
      </c>
    </row>
    <row r="24" spans="2:2" ht="20.149999999999999" hidden="1" x14ac:dyDescent="0.4">
      <c r="B24" s="144" t="s">
        <v>221</v>
      </c>
    </row>
    <row r="25" spans="2:2" ht="20.149999999999999" hidden="1" x14ac:dyDescent="0.4">
      <c r="B25" s="144" t="s">
        <v>222</v>
      </c>
    </row>
    <row r="26" spans="2:2" ht="20.149999999999999" hidden="1" x14ac:dyDescent="0.4">
      <c r="B26" s="144" t="s">
        <v>223</v>
      </c>
    </row>
    <row r="27" spans="2:2" ht="20.149999999999999" hidden="1" x14ac:dyDescent="0.4">
      <c r="B27" s="144" t="s">
        <v>224</v>
      </c>
    </row>
    <row r="28" spans="2:2" ht="20.149999999999999" x14ac:dyDescent="0.4">
      <c r="B28" s="144"/>
    </row>
    <row r="29" spans="2:2" ht="35.6" x14ac:dyDescent="0.4">
      <c r="B29" s="145" t="s">
        <v>225</v>
      </c>
    </row>
    <row r="30" spans="2:2" ht="42.9" x14ac:dyDescent="0.4">
      <c r="B30" s="146" t="s">
        <v>226</v>
      </c>
    </row>
    <row r="31" spans="2:2" ht="20.149999999999999" hidden="1" x14ac:dyDescent="0.4">
      <c r="B31" s="147"/>
    </row>
    <row r="32" spans="2:2" ht="20.149999999999999" hidden="1" x14ac:dyDescent="0.4">
      <c r="B32" s="147"/>
    </row>
    <row r="33" spans="2:2" s="149" customFormat="1" ht="15" hidden="1" x14ac:dyDescent="0.4">
      <c r="B33" s="148"/>
    </row>
    <row r="34" spans="2:2" ht="29.6" hidden="1" x14ac:dyDescent="0.4">
      <c r="B34" s="150"/>
    </row>
    <row r="35" spans="2:2" ht="29.6" x14ac:dyDescent="0.4">
      <c r="B35" s="150" t="s">
        <v>227</v>
      </c>
    </row>
    <row r="36" spans="2:2" ht="11.5" customHeight="1" x14ac:dyDescent="0.4">
      <c r="B36" s="139"/>
    </row>
  </sheetData>
  <protectedRanges>
    <protectedRange sqref="B14:B20 B9:B11 B30:B33 B22:B28" name="Cover"/>
  </protectedRanges>
  <hyperlinks>
    <hyperlink ref="B7" r:id="rId1" xr:uid="{04424E4B-D47E-438E-830C-9E77F6F345EA}"/>
  </hyperlinks>
  <pageMargins left="0.7" right="0.7" top="0.75" bottom="0.75" header="0.3" footer="0.3"/>
  <pageSetup paperSize="9" scale="78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2:M52"/>
  <sheetViews>
    <sheetView tabSelected="1" view="pageBreakPreview" zoomScale="85" zoomScaleNormal="100" zoomScaleSheetLayoutView="85" workbookViewId="0">
      <selection activeCell="L20" sqref="L20"/>
    </sheetView>
  </sheetViews>
  <sheetFormatPr defaultRowHeight="14.6" x14ac:dyDescent="0.4"/>
  <cols>
    <col min="1" max="1" width="18.3046875" customWidth="1"/>
    <col min="2" max="2" width="8.3828125" customWidth="1"/>
    <col min="3" max="3" width="17.53515625" customWidth="1"/>
    <col min="4" max="4" width="9.15234375" customWidth="1"/>
    <col min="5" max="5" width="17.69140625" customWidth="1"/>
    <col min="6" max="6" width="12.15234375" customWidth="1"/>
    <col min="7" max="7" width="9.84375" customWidth="1"/>
    <col min="8" max="8" width="9.15234375" customWidth="1"/>
    <col min="9" max="9" width="45.84375" bestFit="1" customWidth="1"/>
  </cols>
  <sheetData>
    <row r="2" spans="1:9" ht="16.5" customHeight="1" x14ac:dyDescent="0.4">
      <c r="A2" s="297" t="s">
        <v>30</v>
      </c>
      <c r="B2" s="297"/>
      <c r="C2" s="297"/>
      <c r="D2" s="297"/>
      <c r="E2" s="297"/>
      <c r="F2" s="297"/>
      <c r="G2" s="297"/>
      <c r="H2" s="298"/>
      <c r="I2" s="299"/>
    </row>
    <row r="3" spans="1:9" x14ac:dyDescent="0.4">
      <c r="A3" s="91" t="s">
        <v>12</v>
      </c>
      <c r="B3" s="305" t="s">
        <v>50</v>
      </c>
      <c r="C3" s="305"/>
      <c r="D3" s="305"/>
      <c r="E3" s="305"/>
      <c r="F3" s="305"/>
      <c r="G3" s="305"/>
      <c r="H3" s="92" t="s">
        <v>13</v>
      </c>
      <c r="I3" s="93"/>
    </row>
    <row r="4" spans="1:9" x14ac:dyDescent="0.4">
      <c r="A4" s="94" t="s">
        <v>14</v>
      </c>
      <c r="B4" s="306" t="s">
        <v>51</v>
      </c>
      <c r="C4" s="306"/>
      <c r="D4" s="306"/>
      <c r="E4" s="306"/>
      <c r="F4" s="306"/>
      <c r="G4" s="306"/>
      <c r="H4" s="94" t="s">
        <v>15</v>
      </c>
      <c r="I4" s="95"/>
    </row>
    <row r="5" spans="1:9" x14ac:dyDescent="0.4">
      <c r="A5" s="12"/>
      <c r="B5" s="8"/>
      <c r="C5" s="8"/>
      <c r="D5" s="8"/>
      <c r="E5" s="8"/>
      <c r="F5" s="8"/>
      <c r="G5" s="8"/>
      <c r="H5" s="8"/>
      <c r="I5" s="13"/>
    </row>
    <row r="6" spans="1:9" x14ac:dyDescent="0.4">
      <c r="A6" s="284" t="s">
        <v>16</v>
      </c>
      <c r="B6" s="285"/>
      <c r="C6" s="8"/>
      <c r="D6" s="8"/>
      <c r="E6" s="8"/>
      <c r="F6" s="8"/>
      <c r="G6" s="8"/>
      <c r="H6" s="8"/>
      <c r="I6" s="13"/>
    </row>
    <row r="7" spans="1:9" x14ac:dyDescent="0.4">
      <c r="A7" s="12"/>
      <c r="B7" s="8"/>
      <c r="C7" s="8"/>
      <c r="D7" s="8"/>
      <c r="E7" s="8"/>
      <c r="F7" s="8"/>
      <c r="G7" s="8"/>
      <c r="H7" s="8"/>
      <c r="I7" s="13"/>
    </row>
    <row r="8" spans="1:9" x14ac:dyDescent="0.4">
      <c r="A8" s="14"/>
      <c r="B8" s="300" t="s">
        <v>155</v>
      </c>
      <c r="C8" s="301"/>
      <c r="D8" s="302" t="s">
        <v>4</v>
      </c>
      <c r="E8" s="303"/>
      <c r="F8" s="304"/>
      <c r="G8" s="6"/>
      <c r="H8" s="6"/>
      <c r="I8" s="15"/>
    </row>
    <row r="9" spans="1:9" x14ac:dyDescent="0.4">
      <c r="A9" s="112" t="s">
        <v>206</v>
      </c>
      <c r="B9" s="307">
        <v>5</v>
      </c>
      <c r="C9" s="287"/>
      <c r="D9" s="288" t="str">
        <f>B9*500 &amp; " btu/hr = 1 GPM"</f>
        <v>2500 btu/hr = 1 GPM</v>
      </c>
      <c r="E9" s="289"/>
      <c r="F9" s="290"/>
      <c r="G9" s="6"/>
      <c r="H9" s="6"/>
      <c r="I9" s="15"/>
    </row>
    <row r="10" spans="1:9" x14ac:dyDescent="0.4">
      <c r="A10" s="14"/>
      <c r="B10" s="286">
        <v>10</v>
      </c>
      <c r="C10" s="287"/>
      <c r="D10" s="288" t="str">
        <f t="shared" ref="D10:D12" si="0">B10*500 &amp; " btu/hr = 1 GPM"</f>
        <v>5000 btu/hr = 1 GPM</v>
      </c>
      <c r="E10" s="289"/>
      <c r="F10" s="290"/>
      <c r="G10" s="6"/>
      <c r="H10" s="6"/>
      <c r="I10" s="15"/>
    </row>
    <row r="11" spans="1:9" x14ac:dyDescent="0.4">
      <c r="A11" s="14"/>
      <c r="B11" s="286">
        <v>15</v>
      </c>
      <c r="C11" s="287"/>
      <c r="D11" s="288" t="str">
        <f t="shared" si="0"/>
        <v>7500 btu/hr = 1 GPM</v>
      </c>
      <c r="E11" s="289"/>
      <c r="F11" s="290"/>
      <c r="G11" s="6"/>
      <c r="H11" s="7"/>
      <c r="I11" s="15"/>
    </row>
    <row r="12" spans="1:9" x14ac:dyDescent="0.4">
      <c r="A12" s="14"/>
      <c r="B12" s="286">
        <v>20</v>
      </c>
      <c r="C12" s="287"/>
      <c r="D12" s="288" t="str">
        <f t="shared" si="0"/>
        <v>10000 btu/hr = 1 GPM</v>
      </c>
      <c r="E12" s="289"/>
      <c r="F12" s="290"/>
      <c r="G12" s="6"/>
      <c r="H12" s="6"/>
      <c r="I12" s="15"/>
    </row>
    <row r="13" spans="1:9" x14ac:dyDescent="0.4">
      <c r="A13" s="14"/>
      <c r="B13" s="65" t="s">
        <v>184</v>
      </c>
      <c r="C13" s="65"/>
      <c r="D13" s="65"/>
      <c r="E13" s="65"/>
      <c r="F13" s="4"/>
      <c r="G13" s="4"/>
      <c r="H13" s="4"/>
      <c r="I13" s="16"/>
    </row>
    <row r="14" spans="1:9" x14ac:dyDescent="0.4">
      <c r="A14" s="12"/>
      <c r="B14" s="8"/>
      <c r="C14" s="8"/>
      <c r="D14" s="8"/>
      <c r="E14" s="8"/>
      <c r="F14" s="8"/>
      <c r="G14" s="8"/>
      <c r="H14" s="8"/>
      <c r="I14" s="13"/>
    </row>
    <row r="15" spans="1:9" x14ac:dyDescent="0.4">
      <c r="A15" s="291" t="s">
        <v>23</v>
      </c>
      <c r="B15" s="292"/>
      <c r="C15" s="292"/>
      <c r="D15" s="292"/>
      <c r="E15" s="292"/>
      <c r="F15" s="292"/>
      <c r="G15" s="292"/>
      <c r="H15" s="292"/>
      <c r="I15" s="293"/>
    </row>
    <row r="16" spans="1:9" ht="15" customHeight="1" x14ac:dyDescent="0.4">
      <c r="A16" s="109" t="s">
        <v>153</v>
      </c>
      <c r="B16" s="10"/>
      <c r="C16" s="10"/>
      <c r="D16" s="10"/>
      <c r="E16" s="10"/>
      <c r="F16" s="10"/>
      <c r="G16" s="10"/>
      <c r="H16" s="10"/>
      <c r="I16" s="22"/>
    </row>
    <row r="17" spans="1:9" ht="16.5" customHeight="1" x14ac:dyDescent="0.4">
      <c r="A17" s="284" t="s">
        <v>20</v>
      </c>
      <c r="B17" s="285"/>
      <c r="C17" s="285"/>
      <c r="D17" s="285"/>
      <c r="E17" s="285"/>
      <c r="F17" s="285"/>
      <c r="G17" s="3" t="s">
        <v>2</v>
      </c>
      <c r="H17" s="9">
        <v>2974</v>
      </c>
      <c r="I17" s="18" t="s">
        <v>17</v>
      </c>
    </row>
    <row r="18" spans="1:9" ht="16.5" customHeight="1" x14ac:dyDescent="0.4">
      <c r="A18" s="284" t="s">
        <v>65</v>
      </c>
      <c r="B18" s="285"/>
      <c r="C18" s="285"/>
      <c r="D18" s="285"/>
      <c r="E18" s="285"/>
      <c r="F18" s="285"/>
      <c r="G18" s="3" t="s">
        <v>2</v>
      </c>
      <c r="H18" s="64">
        <v>0.2</v>
      </c>
      <c r="I18" s="76" t="s">
        <v>63</v>
      </c>
    </row>
    <row r="19" spans="1:9" ht="16.5" customHeight="1" x14ac:dyDescent="0.4">
      <c r="A19" s="284" t="s">
        <v>64</v>
      </c>
      <c r="B19" s="285"/>
      <c r="C19" s="285"/>
      <c r="D19" s="285"/>
      <c r="E19" s="285"/>
      <c r="F19" s="285"/>
      <c r="G19" s="3" t="s">
        <v>2</v>
      </c>
      <c r="H19" s="9">
        <f>ROUNDUP((H18*H17)+H17,0)</f>
        <v>3569</v>
      </c>
      <c r="I19" s="20"/>
    </row>
    <row r="20" spans="1:9" ht="16.5" customHeight="1" x14ac:dyDescent="0.4">
      <c r="A20" s="284" t="s">
        <v>21</v>
      </c>
      <c r="B20" s="285"/>
      <c r="C20" s="285"/>
      <c r="D20" s="3" t="s">
        <v>1</v>
      </c>
      <c r="E20" s="4" t="str">
        <f>H19 &amp; " ft x 30 (btu/hr)/ft"</f>
        <v>3569 ft x 30 (btu/hr)/ft</v>
      </c>
      <c r="F20" s="4"/>
      <c r="G20" s="3" t="s">
        <v>2</v>
      </c>
      <c r="H20" s="9">
        <f>H19*30</f>
        <v>107070</v>
      </c>
      <c r="I20" s="18" t="s">
        <v>34</v>
      </c>
    </row>
    <row r="21" spans="1:9" ht="16.5" customHeight="1" x14ac:dyDescent="0.4">
      <c r="A21" s="284" t="s">
        <v>22</v>
      </c>
      <c r="B21" s="285"/>
      <c r="C21" s="285"/>
      <c r="D21" s="3" t="s">
        <v>1</v>
      </c>
      <c r="E21" s="56" t="str">
        <f>H20 &amp;" (btu/hr) / 10,000"</f>
        <v>107070 (btu/hr) / 10,000</v>
      </c>
      <c r="F21" s="4"/>
      <c r="G21" s="3" t="s">
        <v>2</v>
      </c>
      <c r="H21" s="11">
        <f>H20/10000</f>
        <v>10.707000000000001</v>
      </c>
      <c r="I21" s="19" t="s">
        <v>18</v>
      </c>
    </row>
    <row r="22" spans="1:9" ht="16.5" customHeight="1" x14ac:dyDescent="0.4">
      <c r="A22" s="17"/>
      <c r="B22" s="5"/>
      <c r="C22" s="5"/>
      <c r="D22" s="5"/>
      <c r="E22" s="5"/>
      <c r="F22" s="5"/>
      <c r="G22" s="1"/>
      <c r="H22" s="7"/>
      <c r="I22" s="18"/>
    </row>
    <row r="23" spans="1:9" ht="15" thickBot="1" x14ac:dyDescent="0.45">
      <c r="A23" t="s">
        <v>69</v>
      </c>
      <c r="D23" s="3" t="s">
        <v>2</v>
      </c>
      <c r="E23" s="80">
        <f>CEILING(H21,1)</f>
        <v>11</v>
      </c>
      <c r="F23" s="68" t="s">
        <v>18</v>
      </c>
      <c r="G23" s="1"/>
      <c r="H23" s="1"/>
      <c r="I23" s="20"/>
    </row>
    <row r="24" spans="1:9" ht="15" thickBot="1" x14ac:dyDescent="0.45">
      <c r="A24" s="294" t="s">
        <v>70</v>
      </c>
      <c r="B24" s="295"/>
      <c r="C24" s="296"/>
      <c r="D24" s="3" t="s">
        <v>2</v>
      </c>
      <c r="E24" s="70">
        <f>ROUNDUP((E23*20%)+E23,0)</f>
        <v>14</v>
      </c>
      <c r="F24" s="71" t="s">
        <v>18</v>
      </c>
      <c r="G24" s="1"/>
      <c r="H24" s="1" t="s">
        <v>19</v>
      </c>
      <c r="I24" s="20"/>
    </row>
    <row r="25" spans="1:9" ht="15" customHeight="1" x14ac:dyDescent="0.4">
      <c r="A25" s="21"/>
      <c r="B25" s="10"/>
      <c r="C25" s="10"/>
      <c r="D25" s="3" t="s">
        <v>2</v>
      </c>
      <c r="E25" s="96">
        <f>ROUNDUP(E24*0.2271247,1)</f>
        <v>3.2</v>
      </c>
      <c r="F25" s="69" t="s">
        <v>60</v>
      </c>
      <c r="G25" s="10"/>
      <c r="H25" s="10"/>
      <c r="I25" s="22"/>
    </row>
    <row r="26" spans="1:9" ht="15" customHeight="1" x14ac:dyDescent="0.4">
      <c r="A26" s="21"/>
      <c r="B26" s="10"/>
      <c r="C26" s="10"/>
      <c r="D26" s="3" t="s">
        <v>2</v>
      </c>
      <c r="E26" s="81">
        <f>ROUNDUP(E24*0.0630902,0)</f>
        <v>1</v>
      </c>
      <c r="F26" s="67" t="s">
        <v>61</v>
      </c>
      <c r="G26" s="10"/>
      <c r="H26" s="10"/>
      <c r="I26" s="22"/>
    </row>
    <row r="27" spans="1:9" ht="15" customHeight="1" x14ac:dyDescent="0.4">
      <c r="A27" s="21"/>
      <c r="B27" s="10"/>
      <c r="C27" s="10"/>
      <c r="D27" s="10"/>
      <c r="E27" s="10"/>
      <c r="F27" s="10"/>
      <c r="G27" s="10"/>
      <c r="H27" s="10"/>
      <c r="I27" s="22"/>
    </row>
    <row r="28" spans="1:9" x14ac:dyDescent="0.4">
      <c r="A28" s="291" t="s">
        <v>24</v>
      </c>
      <c r="B28" s="292"/>
      <c r="C28" s="292"/>
      <c r="D28" s="292"/>
      <c r="E28" s="292"/>
      <c r="F28" s="292"/>
      <c r="G28" s="292"/>
      <c r="H28" s="292"/>
      <c r="I28" s="293"/>
    </row>
    <row r="29" spans="1:9" x14ac:dyDescent="0.4">
      <c r="A29" s="284" t="s">
        <v>80</v>
      </c>
      <c r="B29" s="285"/>
      <c r="C29" s="285"/>
      <c r="D29" s="285"/>
      <c r="E29" s="285"/>
      <c r="F29" s="285"/>
      <c r="G29" s="59">
        <v>974</v>
      </c>
      <c r="H29" s="59" t="s">
        <v>0</v>
      </c>
      <c r="I29" s="20"/>
    </row>
    <row r="30" spans="1:9" x14ac:dyDescent="0.4">
      <c r="A30" s="284" t="s">
        <v>65</v>
      </c>
      <c r="B30" s="285"/>
      <c r="C30" s="285"/>
      <c r="D30" s="285"/>
      <c r="E30" s="285"/>
      <c r="F30" s="285"/>
      <c r="G30" s="64">
        <v>0.2</v>
      </c>
      <c r="H30" s="23" t="s">
        <v>231</v>
      </c>
      <c r="I30" s="20"/>
    </row>
    <row r="31" spans="1:9" x14ac:dyDescent="0.4">
      <c r="A31" s="284" t="s">
        <v>64</v>
      </c>
      <c r="B31" s="285"/>
      <c r="C31" s="285"/>
      <c r="D31" s="285"/>
      <c r="E31" s="285"/>
      <c r="F31" s="285"/>
      <c r="G31" s="59">
        <f>ROUNDUP((G30*G29)+G29,0)</f>
        <v>1169</v>
      </c>
      <c r="H31" s="59" t="s">
        <v>0</v>
      </c>
      <c r="I31" s="20"/>
    </row>
    <row r="32" spans="1:9" x14ac:dyDescent="0.4">
      <c r="A32" s="284" t="s">
        <v>67</v>
      </c>
      <c r="B32" s="285"/>
      <c r="C32" s="285"/>
      <c r="D32" s="285"/>
      <c r="E32" s="285"/>
      <c r="F32" s="285"/>
      <c r="G32" s="59">
        <v>250</v>
      </c>
      <c r="H32" s="157" t="s">
        <v>232</v>
      </c>
      <c r="I32" s="76" t="s">
        <v>233</v>
      </c>
    </row>
    <row r="33" spans="1:13" x14ac:dyDescent="0.4">
      <c r="A33" s="153"/>
      <c r="B33" s="154"/>
      <c r="C33" s="154"/>
      <c r="D33" s="154"/>
      <c r="E33" s="154"/>
      <c r="F33" s="154"/>
      <c r="G33" s="59"/>
      <c r="H33" s="59"/>
      <c r="I33" s="76" t="s">
        <v>234</v>
      </c>
    </row>
    <row r="34" spans="1:13" ht="15" thickBot="1" x14ac:dyDescent="0.45">
      <c r="A34" s="284" t="s">
        <v>66</v>
      </c>
      <c r="B34" s="285"/>
      <c r="C34" s="285"/>
      <c r="D34" s="285"/>
      <c r="E34" s="285"/>
      <c r="F34" s="285"/>
      <c r="G34" s="61">
        <f>G31*(G32/10000)</f>
        <v>29.225000000000001</v>
      </c>
      <c r="H34" s="61" t="s">
        <v>0</v>
      </c>
      <c r="I34" s="20"/>
    </row>
    <row r="35" spans="1:13" ht="15" thickBot="1" x14ac:dyDescent="0.45">
      <c r="A35" s="294" t="s">
        <v>25</v>
      </c>
      <c r="B35" s="295"/>
      <c r="C35" s="295"/>
      <c r="D35" s="295"/>
      <c r="E35" s="296"/>
      <c r="F35" s="3" t="s">
        <v>2</v>
      </c>
      <c r="G35" s="78">
        <f>ROUNDUP(G34,0)</f>
        <v>30</v>
      </c>
      <c r="H35" s="77" t="s">
        <v>0</v>
      </c>
      <c r="I35" s="20"/>
    </row>
    <row r="36" spans="1:13" x14ac:dyDescent="0.4">
      <c r="I36" s="20"/>
    </row>
    <row r="37" spans="1:13" x14ac:dyDescent="0.4">
      <c r="A37" s="284" t="s">
        <v>80</v>
      </c>
      <c r="B37" s="285"/>
      <c r="C37" s="285"/>
      <c r="D37" s="285"/>
      <c r="E37" s="285"/>
      <c r="F37" s="285"/>
      <c r="G37" s="59">
        <v>4000</v>
      </c>
      <c r="H37" s="59" t="s">
        <v>17</v>
      </c>
      <c r="I37" s="20"/>
    </row>
    <row r="38" spans="1:13" x14ac:dyDescent="0.4">
      <c r="A38" s="284" t="s">
        <v>65</v>
      </c>
      <c r="B38" s="285"/>
      <c r="C38" s="285"/>
      <c r="D38" s="285"/>
      <c r="E38" s="285"/>
      <c r="F38" s="285"/>
      <c r="G38" s="64">
        <v>0.2</v>
      </c>
      <c r="H38" s="154" t="s">
        <v>231</v>
      </c>
      <c r="I38" s="20"/>
    </row>
    <row r="39" spans="1:13" x14ac:dyDescent="0.4">
      <c r="A39" s="284" t="s">
        <v>64</v>
      </c>
      <c r="B39" s="285"/>
      <c r="C39" s="285"/>
      <c r="D39" s="285"/>
      <c r="E39" s="285"/>
      <c r="F39" s="285"/>
      <c r="G39" s="59">
        <f>ROUNDUP((G38*G37)+G37,0)</f>
        <v>4800</v>
      </c>
      <c r="H39" s="59" t="s">
        <v>17</v>
      </c>
      <c r="I39" s="20"/>
    </row>
    <row r="40" spans="1:13" x14ac:dyDescent="0.4">
      <c r="A40" s="284" t="s">
        <v>67</v>
      </c>
      <c r="B40" s="285"/>
      <c r="C40" s="285"/>
      <c r="D40" s="285"/>
      <c r="E40" s="285"/>
      <c r="F40" s="285"/>
      <c r="G40" s="59">
        <v>2.5</v>
      </c>
      <c r="H40" s="157" t="s">
        <v>235</v>
      </c>
      <c r="I40" s="76" t="s">
        <v>236</v>
      </c>
    </row>
    <row r="41" spans="1:13" x14ac:dyDescent="0.4">
      <c r="A41" s="153"/>
      <c r="B41" s="154"/>
      <c r="C41" s="154"/>
      <c r="D41" s="154"/>
      <c r="E41" s="154"/>
      <c r="F41" s="154"/>
      <c r="G41" s="59"/>
      <c r="H41" s="59"/>
      <c r="I41" s="76" t="s">
        <v>234</v>
      </c>
    </row>
    <row r="42" spans="1:13" ht="15" thickBot="1" x14ac:dyDescent="0.45">
      <c r="A42" s="284" t="s">
        <v>66</v>
      </c>
      <c r="B42" s="285"/>
      <c r="C42" s="285"/>
      <c r="D42" s="285"/>
      <c r="E42" s="285"/>
      <c r="F42" s="285"/>
      <c r="G42" s="61">
        <f>G39*(G40/100)</f>
        <v>120</v>
      </c>
      <c r="H42" s="61" t="s">
        <v>17</v>
      </c>
      <c r="I42" s="20"/>
    </row>
    <row r="43" spans="1:13" ht="15" thickBot="1" x14ac:dyDescent="0.45">
      <c r="A43" s="294" t="s">
        <v>25</v>
      </c>
      <c r="B43" s="295"/>
      <c r="C43" s="295"/>
      <c r="D43" s="295"/>
      <c r="E43" s="296"/>
      <c r="F43" s="3" t="s">
        <v>2</v>
      </c>
      <c r="G43" s="78">
        <f>ROUNDUP(G42*0.3048,0)</f>
        <v>37</v>
      </c>
      <c r="H43" s="77" t="s">
        <v>0</v>
      </c>
      <c r="I43" s="20"/>
    </row>
    <row r="44" spans="1:13" x14ac:dyDescent="0.4">
      <c r="A44" s="155"/>
      <c r="B44" s="156"/>
      <c r="C44" s="156"/>
      <c r="D44" s="156"/>
      <c r="E44" s="156"/>
      <c r="F44" s="156"/>
      <c r="G44" s="57"/>
      <c r="H44" s="2"/>
      <c r="I44" s="20"/>
    </row>
    <row r="45" spans="1:13" x14ac:dyDescent="0.4">
      <c r="A45" s="291" t="s">
        <v>55</v>
      </c>
      <c r="B45" s="292"/>
      <c r="C45" s="292"/>
      <c r="D45" s="292"/>
      <c r="E45" s="292"/>
      <c r="F45" s="292"/>
      <c r="G45" s="292"/>
      <c r="H45" s="292"/>
      <c r="I45" s="293"/>
    </row>
    <row r="46" spans="1:13" x14ac:dyDescent="0.4">
      <c r="A46" s="284" t="s">
        <v>58</v>
      </c>
      <c r="B46" s="285"/>
      <c r="C46" s="285"/>
      <c r="D46" s="285"/>
      <c r="E46" s="285"/>
      <c r="F46" s="285"/>
      <c r="G46" s="62">
        <v>1000</v>
      </c>
      <c r="H46" s="2"/>
      <c r="I46" s="20"/>
      <c r="M46" s="66"/>
    </row>
    <row r="47" spans="1:13" x14ac:dyDescent="0.4">
      <c r="A47" s="284" t="s">
        <v>59</v>
      </c>
      <c r="B47" s="285"/>
      <c r="C47" s="285"/>
      <c r="D47" s="285"/>
      <c r="E47" s="285"/>
      <c r="F47" s="285"/>
      <c r="G47" s="63">
        <v>9.81</v>
      </c>
      <c r="H47" s="2"/>
      <c r="I47" s="20"/>
    </row>
    <row r="48" spans="1:13" ht="15" thickBot="1" x14ac:dyDescent="0.45">
      <c r="A48" s="284" t="s">
        <v>56</v>
      </c>
      <c r="B48" s="285"/>
      <c r="C48" s="285"/>
      <c r="D48" s="285"/>
      <c r="E48" s="285"/>
      <c r="F48" s="285"/>
      <c r="G48" s="64">
        <v>0.6</v>
      </c>
      <c r="H48" s="72" t="s">
        <v>237</v>
      </c>
      <c r="I48" s="20"/>
    </row>
    <row r="49" spans="1:9" ht="15" thickBot="1" x14ac:dyDescent="0.45">
      <c r="A49" s="311" t="s">
        <v>71</v>
      </c>
      <c r="B49" s="312"/>
      <c r="C49" s="312"/>
      <c r="D49" s="312"/>
      <c r="E49" s="312"/>
      <c r="F49" s="312"/>
      <c r="G49" s="79">
        <f>IF(J28="Meter",((G46*G47*G35*(E26/1000))/G48)/1000,IF(J28="",((G46*G47*G35*(E26/1000))/G48)/1000,((G46*G47*G43*(E26/1000))/G48)/1000))</f>
        <v>0.49050000000000005</v>
      </c>
      <c r="H49" s="77" t="s">
        <v>62</v>
      </c>
      <c r="I49" s="20"/>
    </row>
    <row r="50" spans="1:9" ht="15" thickBot="1" x14ac:dyDescent="0.45">
      <c r="A50" s="58"/>
      <c r="B50" s="59"/>
      <c r="C50" s="59"/>
      <c r="D50" s="59"/>
      <c r="E50" s="59"/>
      <c r="F50" s="59"/>
      <c r="H50" s="2"/>
      <c r="I50" s="20"/>
    </row>
    <row r="51" spans="1:9" ht="15" customHeight="1" thickBot="1" x14ac:dyDescent="0.45">
      <c r="A51" s="73" t="s">
        <v>54</v>
      </c>
      <c r="B51" s="308" t="str">
        <f>IF(J28="","PLEASE SELECT (H, Q) REQUIRED FOR YOUR PUMP",IF(J28="Meter","Duplex Pump Set; each "&amp;(E24)&amp;" gpm flow @ "&amp;(G35)&amp;" m head with "&amp;'ASPE DATA SHEET'!H44&amp;" KW each; (1-Working + 1 Standby)","Duplex Pump Set; each "&amp;(E24)&amp;" gpm flow @ "&amp;(G43)&amp;" m head with "&amp;'ASPE DATA SHEET'!H44&amp;" KW each; (1-Working + 1 Standby)"))</f>
        <v>PLEASE SELECT (H, Q) REQUIRED FOR YOUR PUMP</v>
      </c>
      <c r="C51" s="309"/>
      <c r="D51" s="309"/>
      <c r="E51" s="309"/>
      <c r="F51" s="309"/>
      <c r="G51" s="309"/>
      <c r="H51" s="309"/>
      <c r="I51" s="310"/>
    </row>
    <row r="52" spans="1:9" x14ac:dyDescent="0.4">
      <c r="A52" s="74"/>
      <c r="B52" s="74"/>
      <c r="C52" s="74"/>
      <c r="D52" s="74"/>
      <c r="E52" s="74"/>
      <c r="F52" s="74"/>
      <c r="G52" s="74"/>
      <c r="H52" s="74"/>
      <c r="I52" s="75"/>
    </row>
  </sheetData>
  <mergeCells count="40">
    <mergeCell ref="A42:F42"/>
    <mergeCell ref="B51:I51"/>
    <mergeCell ref="A45:I45"/>
    <mergeCell ref="A46:F46"/>
    <mergeCell ref="A49:F49"/>
    <mergeCell ref="A47:F47"/>
    <mergeCell ref="A48:F48"/>
    <mergeCell ref="A43:E43"/>
    <mergeCell ref="A2:I2"/>
    <mergeCell ref="B8:C8"/>
    <mergeCell ref="D8:F8"/>
    <mergeCell ref="B10:C10"/>
    <mergeCell ref="D10:F10"/>
    <mergeCell ref="A6:B6"/>
    <mergeCell ref="B3:G3"/>
    <mergeCell ref="B4:G4"/>
    <mergeCell ref="B9:C9"/>
    <mergeCell ref="D9:F9"/>
    <mergeCell ref="A34:F34"/>
    <mergeCell ref="D12:F12"/>
    <mergeCell ref="A21:C21"/>
    <mergeCell ref="A20:C20"/>
    <mergeCell ref="A18:F18"/>
    <mergeCell ref="A19:F19"/>
    <mergeCell ref="A37:F37"/>
    <mergeCell ref="A38:F38"/>
    <mergeCell ref="A39:F39"/>
    <mergeCell ref="A40:F40"/>
    <mergeCell ref="B11:C11"/>
    <mergeCell ref="D11:F11"/>
    <mergeCell ref="B12:C12"/>
    <mergeCell ref="A15:I15"/>
    <mergeCell ref="A35:E35"/>
    <mergeCell ref="A32:F32"/>
    <mergeCell ref="A17:F17"/>
    <mergeCell ref="A31:F31"/>
    <mergeCell ref="A24:C24"/>
    <mergeCell ref="A30:F30"/>
    <mergeCell ref="A29:F29"/>
    <mergeCell ref="A28:I28"/>
  </mergeCells>
  <pageMargins left="0.7" right="0.7" top="0.75" bottom="0.75" header="0.3" footer="0.3"/>
  <pageSetup paperSize="9" scale="56" orientation="portrait" r:id="rId1"/>
  <headerFooter>
    <oddFooter>Page &amp;P of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100-000000000000}">
          <x14:formula1>
            <xm:f>'ASPE DATA SHEET'!$K$42:$K$44</xm:f>
          </x14:formula1>
          <xm:sqref>J28</xm:sqref>
        </x14:dataValidation>
        <x14:dataValidation type="list" allowBlank="1" showInputMessage="1" showErrorMessage="1" xr:uid="{00000000-0002-0000-0100-000001000000}">
          <x14:formula1>
            <xm:f>'ASPE DATA SHEET'!$L$43:$L$47</xm:f>
          </x14:formula1>
          <xm:sqref>G30 G38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2:M68"/>
  <sheetViews>
    <sheetView view="pageBreakPreview" zoomScale="90" zoomScaleNormal="100" zoomScaleSheetLayoutView="90" workbookViewId="0">
      <selection activeCell="I3" sqref="I3:I4"/>
    </sheetView>
  </sheetViews>
  <sheetFormatPr defaultRowHeight="14.6" x14ac:dyDescent="0.4"/>
  <cols>
    <col min="1" max="1" width="15.84375" customWidth="1"/>
    <col min="2" max="2" width="8.3828125" customWidth="1"/>
    <col min="3" max="3" width="17.53515625" customWidth="1"/>
    <col min="4" max="4" width="9.15234375" customWidth="1"/>
    <col min="5" max="5" width="17.3828125" customWidth="1"/>
    <col min="6" max="6" width="12.15234375" customWidth="1"/>
    <col min="7" max="7" width="9.84375" customWidth="1"/>
    <col min="8" max="8" width="9.15234375" customWidth="1"/>
    <col min="9" max="9" width="47.3046875" customWidth="1"/>
  </cols>
  <sheetData>
    <row r="2" spans="1:9" ht="16.5" customHeight="1" x14ac:dyDescent="0.4">
      <c r="A2" s="297" t="s">
        <v>30</v>
      </c>
      <c r="B2" s="297"/>
      <c r="C2" s="297"/>
      <c r="D2" s="297"/>
      <c r="E2" s="297"/>
      <c r="F2" s="297"/>
      <c r="G2" s="297"/>
      <c r="H2" s="298"/>
      <c r="I2" s="299"/>
    </row>
    <row r="3" spans="1:9" x14ac:dyDescent="0.4">
      <c r="A3" s="91" t="s">
        <v>12</v>
      </c>
      <c r="B3" s="305" t="s">
        <v>50</v>
      </c>
      <c r="C3" s="305"/>
      <c r="D3" s="305"/>
      <c r="E3" s="305"/>
      <c r="F3" s="305"/>
      <c r="G3" s="305"/>
      <c r="H3" s="92" t="s">
        <v>13</v>
      </c>
      <c r="I3" s="93"/>
    </row>
    <row r="4" spans="1:9" x14ac:dyDescent="0.4">
      <c r="A4" s="94" t="s">
        <v>14</v>
      </c>
      <c r="B4" s="306" t="s">
        <v>51</v>
      </c>
      <c r="C4" s="306"/>
      <c r="D4" s="306"/>
      <c r="E4" s="306"/>
      <c r="F4" s="306"/>
      <c r="G4" s="306"/>
      <c r="H4" s="94" t="s">
        <v>15</v>
      </c>
      <c r="I4" s="95"/>
    </row>
    <row r="5" spans="1:9" x14ac:dyDescent="0.4">
      <c r="A5" s="12"/>
      <c r="B5" s="8"/>
      <c r="C5" s="8"/>
      <c r="D5" s="8"/>
      <c r="E5" s="8"/>
      <c r="F5" s="8"/>
      <c r="G5" s="8"/>
      <c r="H5" s="8"/>
      <c r="I5" s="13"/>
    </row>
    <row r="6" spans="1:9" x14ac:dyDescent="0.4">
      <c r="A6" s="284" t="s">
        <v>16</v>
      </c>
      <c r="B6" s="285"/>
      <c r="C6" s="8"/>
      <c r="D6" s="8"/>
      <c r="E6" s="8"/>
      <c r="F6" s="8"/>
      <c r="G6" s="8"/>
      <c r="H6" s="8"/>
      <c r="I6" s="13"/>
    </row>
    <row r="7" spans="1:9" x14ac:dyDescent="0.4">
      <c r="A7" s="12"/>
      <c r="B7" s="8"/>
      <c r="C7" s="8"/>
      <c r="D7" s="8"/>
      <c r="E7" s="8"/>
      <c r="F7" s="8"/>
      <c r="G7" s="8"/>
      <c r="H7" s="8"/>
      <c r="I7" s="13"/>
    </row>
    <row r="8" spans="1:9" x14ac:dyDescent="0.4">
      <c r="A8" s="14"/>
      <c r="B8" s="300" t="s">
        <v>155</v>
      </c>
      <c r="C8" s="301"/>
      <c r="D8" s="302" t="s">
        <v>4</v>
      </c>
      <c r="E8" s="303"/>
      <c r="F8" s="304"/>
      <c r="G8" s="6"/>
      <c r="H8" s="6"/>
      <c r="I8" s="15"/>
    </row>
    <row r="9" spans="1:9" x14ac:dyDescent="0.4">
      <c r="A9" s="112" t="s">
        <v>156</v>
      </c>
      <c r="B9" s="307">
        <v>5</v>
      </c>
      <c r="C9" s="287"/>
      <c r="D9" s="288" t="str">
        <f>B9*500 &amp; " btu/hr = 1 GPM"</f>
        <v>2500 btu/hr = 1 GPM</v>
      </c>
      <c r="E9" s="289"/>
      <c r="F9" s="290"/>
      <c r="G9" s="6"/>
      <c r="H9" s="6"/>
      <c r="I9" s="15"/>
    </row>
    <row r="10" spans="1:9" x14ac:dyDescent="0.4">
      <c r="A10" s="14"/>
      <c r="B10" s="286">
        <v>10</v>
      </c>
      <c r="C10" s="287"/>
      <c r="D10" s="288" t="str">
        <f t="shared" ref="D10:D12" si="0">B10*500 &amp; " btu/hr = 1 GPM"</f>
        <v>5000 btu/hr = 1 GPM</v>
      </c>
      <c r="E10" s="289"/>
      <c r="F10" s="290"/>
      <c r="G10" s="6"/>
      <c r="H10" s="6"/>
      <c r="I10" s="15"/>
    </row>
    <row r="11" spans="1:9" x14ac:dyDescent="0.4">
      <c r="A11" s="14"/>
      <c r="B11" s="286">
        <v>15</v>
      </c>
      <c r="C11" s="287"/>
      <c r="D11" s="288" t="str">
        <f t="shared" si="0"/>
        <v>7500 btu/hr = 1 GPM</v>
      </c>
      <c r="E11" s="289"/>
      <c r="F11" s="290"/>
      <c r="G11" s="6"/>
      <c r="H11" s="7"/>
      <c r="I11" s="15"/>
    </row>
    <row r="12" spans="1:9" x14ac:dyDescent="0.4">
      <c r="A12" s="14"/>
      <c r="B12" s="286">
        <v>20</v>
      </c>
      <c r="C12" s="287"/>
      <c r="D12" s="288" t="str">
        <f t="shared" si="0"/>
        <v>10000 btu/hr = 1 GPM</v>
      </c>
      <c r="E12" s="289"/>
      <c r="F12" s="290"/>
      <c r="G12" s="6"/>
      <c r="H12" s="6"/>
      <c r="I12" s="15"/>
    </row>
    <row r="13" spans="1:9" x14ac:dyDescent="0.4">
      <c r="A13" s="14"/>
      <c r="B13" s="65" t="s">
        <v>11</v>
      </c>
      <c r="C13" s="65"/>
      <c r="D13" s="65"/>
      <c r="E13" s="65"/>
      <c r="F13" s="4"/>
      <c r="G13" s="4"/>
      <c r="H13" s="4"/>
      <c r="I13" s="16"/>
    </row>
    <row r="14" spans="1:9" x14ac:dyDescent="0.4">
      <c r="A14" s="12"/>
      <c r="B14" s="8"/>
      <c r="C14" s="8"/>
      <c r="D14" s="8"/>
      <c r="E14" s="8"/>
      <c r="F14" s="8"/>
      <c r="G14" s="8"/>
      <c r="H14" s="8"/>
      <c r="I14" s="13"/>
    </row>
    <row r="15" spans="1:9" x14ac:dyDescent="0.4">
      <c r="A15" s="291" t="s">
        <v>23</v>
      </c>
      <c r="B15" s="292"/>
      <c r="C15" s="292"/>
      <c r="D15" s="292"/>
      <c r="E15" s="292"/>
      <c r="F15" s="292"/>
      <c r="G15" s="292"/>
      <c r="H15" s="292"/>
      <c r="I15" s="293"/>
    </row>
    <row r="16" spans="1:9" ht="15" customHeight="1" x14ac:dyDescent="0.4">
      <c r="A16" t="s">
        <v>393</v>
      </c>
      <c r="B16" s="10"/>
      <c r="C16" s="10"/>
      <c r="D16" s="10"/>
      <c r="E16" s="10"/>
      <c r="F16" s="10"/>
      <c r="G16" s="10"/>
      <c r="H16" s="10"/>
      <c r="I16" s="22"/>
    </row>
    <row r="17" spans="1:9" ht="15" customHeight="1" x14ac:dyDescent="0.4">
      <c r="A17" s="109" t="s">
        <v>183</v>
      </c>
      <c r="B17" s="10"/>
      <c r="C17" s="10"/>
      <c r="D17" s="10"/>
      <c r="E17" s="10"/>
      <c r="F17" s="10"/>
      <c r="G17" s="10"/>
      <c r="H17" s="10"/>
      <c r="I17" s="22"/>
    </row>
    <row r="18" spans="1:9" ht="15" customHeight="1" x14ac:dyDescent="0.4">
      <c r="B18" s="10"/>
      <c r="C18" s="10"/>
      <c r="D18" s="10"/>
      <c r="E18" s="10"/>
      <c r="F18" s="10"/>
      <c r="G18" s="10"/>
      <c r="H18" s="10"/>
      <c r="I18" s="22"/>
    </row>
    <row r="19" spans="1:9" ht="15" customHeight="1" x14ac:dyDescent="0.4">
      <c r="A19" s="109"/>
      <c r="B19" s="330" t="s">
        <v>201</v>
      </c>
      <c r="C19" s="331"/>
      <c r="D19" s="332"/>
      <c r="E19" s="328" t="s">
        <v>202</v>
      </c>
      <c r="F19" s="328" t="s">
        <v>228</v>
      </c>
      <c r="G19" s="330" t="s">
        <v>203</v>
      </c>
      <c r="H19" s="331"/>
      <c r="I19" s="323" t="s">
        <v>204</v>
      </c>
    </row>
    <row r="20" spans="1:9" ht="15" customHeight="1" x14ac:dyDescent="0.4">
      <c r="A20" s="109"/>
      <c r="B20" s="333" t="s">
        <v>131</v>
      </c>
      <c r="C20" s="334"/>
      <c r="D20" s="335"/>
      <c r="E20" s="328"/>
      <c r="F20" s="328"/>
      <c r="G20" s="333" t="s">
        <v>132</v>
      </c>
      <c r="H20" s="334"/>
      <c r="I20" s="324"/>
    </row>
    <row r="21" spans="1:9" ht="15" customHeight="1" x14ac:dyDescent="0.4">
      <c r="A21" s="109"/>
      <c r="B21" s="315" t="s">
        <v>134</v>
      </c>
      <c r="C21" s="316"/>
      <c r="D21" s="317"/>
      <c r="E21" s="152">
        <v>500</v>
      </c>
      <c r="F21" s="152">
        <f>ROUNDUP((E21*10%)+E21,0)</f>
        <v>550</v>
      </c>
      <c r="G21" s="313">
        <f>F21*'ASPE DATA SHEET'!D11</f>
        <v>8250</v>
      </c>
      <c r="H21" s="314"/>
      <c r="I21" s="325" t="s">
        <v>238</v>
      </c>
    </row>
    <row r="22" spans="1:9" ht="15" customHeight="1" x14ac:dyDescent="0.4">
      <c r="A22" s="109"/>
      <c r="B22" s="315" t="s">
        <v>135</v>
      </c>
      <c r="C22" s="316"/>
      <c r="D22" s="317" t="s">
        <v>1</v>
      </c>
      <c r="E22" s="152">
        <v>220</v>
      </c>
      <c r="F22" s="152">
        <f t="shared" ref="F22:F32" si="1">ROUNDUP((E22*10%)+E22,0)</f>
        <v>242</v>
      </c>
      <c r="G22" s="313">
        <f>F22*'ASPE DATA SHEET'!D12</f>
        <v>4114</v>
      </c>
      <c r="H22" s="314"/>
      <c r="I22" s="326"/>
    </row>
    <row r="23" spans="1:9" ht="15" customHeight="1" x14ac:dyDescent="0.4">
      <c r="A23" s="109"/>
      <c r="B23" s="315" t="s">
        <v>136</v>
      </c>
      <c r="C23" s="316"/>
      <c r="D23" s="317" t="s">
        <v>1</v>
      </c>
      <c r="E23" s="152">
        <v>350</v>
      </c>
      <c r="F23" s="152">
        <f t="shared" si="1"/>
        <v>385</v>
      </c>
      <c r="G23" s="313">
        <f>F23*'ASPE DATA SHEET'!D13</f>
        <v>7315</v>
      </c>
      <c r="H23" s="314"/>
      <c r="I23" s="326"/>
    </row>
    <row r="24" spans="1:9" ht="15" customHeight="1" x14ac:dyDescent="0.4">
      <c r="A24" s="109"/>
      <c r="B24" s="315" t="s">
        <v>137</v>
      </c>
      <c r="C24" s="316"/>
      <c r="D24" s="317" t="s">
        <v>1</v>
      </c>
      <c r="E24" s="152">
        <v>320</v>
      </c>
      <c r="F24" s="152">
        <f t="shared" si="1"/>
        <v>352</v>
      </c>
      <c r="G24" s="313">
        <f>F24*'ASPE DATA SHEET'!D14</f>
        <v>7392</v>
      </c>
      <c r="H24" s="314"/>
      <c r="I24" s="326"/>
    </row>
    <row r="25" spans="1:9" ht="15" customHeight="1" x14ac:dyDescent="0.4">
      <c r="A25" s="109"/>
      <c r="B25" s="315" t="s">
        <v>138</v>
      </c>
      <c r="C25" s="316"/>
      <c r="D25" s="317" t="s">
        <v>1</v>
      </c>
      <c r="E25" s="152">
        <v>260</v>
      </c>
      <c r="F25" s="152">
        <f t="shared" si="1"/>
        <v>286</v>
      </c>
      <c r="G25" s="313">
        <f>F25*'ASPE DATA SHEET'!D15</f>
        <v>7150</v>
      </c>
      <c r="H25" s="314"/>
      <c r="I25" s="326"/>
    </row>
    <row r="26" spans="1:9" ht="15" customHeight="1" x14ac:dyDescent="0.4">
      <c r="A26" s="109"/>
      <c r="B26" s="315" t="s">
        <v>139</v>
      </c>
      <c r="C26" s="316"/>
      <c r="D26" s="317" t="s">
        <v>1</v>
      </c>
      <c r="E26" s="152">
        <v>160</v>
      </c>
      <c r="F26" s="152">
        <f t="shared" si="1"/>
        <v>176</v>
      </c>
      <c r="G26" s="313">
        <f>F26*'ASPE DATA SHEET'!D16</f>
        <v>4928</v>
      </c>
      <c r="H26" s="314"/>
      <c r="I26" s="326"/>
    </row>
    <row r="27" spans="1:9" ht="15" customHeight="1" x14ac:dyDescent="0.4">
      <c r="A27" s="109"/>
      <c r="B27" s="315" t="s">
        <v>140</v>
      </c>
      <c r="C27" s="316"/>
      <c r="D27" s="317" t="s">
        <v>1</v>
      </c>
      <c r="E27" s="152">
        <v>400</v>
      </c>
      <c r="F27" s="152">
        <f t="shared" si="1"/>
        <v>440</v>
      </c>
      <c r="G27" s="313">
        <f>F27*'ASPE DATA SHEET'!D17</f>
        <v>14080</v>
      </c>
      <c r="H27" s="314"/>
      <c r="I27" s="326"/>
    </row>
    <row r="28" spans="1:9" ht="15" customHeight="1" x14ac:dyDescent="0.4">
      <c r="A28" s="109"/>
      <c r="B28" s="315" t="s">
        <v>141</v>
      </c>
      <c r="C28" s="316"/>
      <c r="D28" s="317" t="s">
        <v>1</v>
      </c>
      <c r="E28" s="152">
        <v>250</v>
      </c>
      <c r="F28" s="152">
        <f t="shared" si="1"/>
        <v>275</v>
      </c>
      <c r="G28" s="313">
        <f>F28*'ASPE DATA SHEET'!D18</f>
        <v>10450</v>
      </c>
      <c r="H28" s="314"/>
      <c r="I28" s="326"/>
    </row>
    <row r="29" spans="1:9" ht="16.5" customHeight="1" x14ac:dyDescent="0.4">
      <c r="A29" s="122"/>
      <c r="B29" s="315" t="s">
        <v>142</v>
      </c>
      <c r="C29" s="316"/>
      <c r="D29" s="317" t="s">
        <v>1</v>
      </c>
      <c r="E29" s="152">
        <v>0</v>
      </c>
      <c r="F29" s="152">
        <f t="shared" si="1"/>
        <v>0</v>
      </c>
      <c r="G29" s="313">
        <f>F29*'ASPE DATA SHEET'!D19</f>
        <v>0</v>
      </c>
      <c r="H29" s="314"/>
      <c r="I29" s="326"/>
    </row>
    <row r="30" spans="1:9" ht="16.5" customHeight="1" x14ac:dyDescent="0.4">
      <c r="A30" s="122"/>
      <c r="B30" s="315" t="s">
        <v>143</v>
      </c>
      <c r="C30" s="316"/>
      <c r="D30" s="317" t="s">
        <v>1</v>
      </c>
      <c r="E30" s="152">
        <v>0</v>
      </c>
      <c r="F30" s="152">
        <f t="shared" si="1"/>
        <v>0</v>
      </c>
      <c r="G30" s="313">
        <f>F30*'ASPE DATA SHEET'!D20</f>
        <v>0</v>
      </c>
      <c r="H30" s="314"/>
      <c r="I30" s="326"/>
    </row>
    <row r="31" spans="1:9" ht="16.5" customHeight="1" x14ac:dyDescent="0.4">
      <c r="A31" s="122"/>
      <c r="B31" s="315" t="s">
        <v>144</v>
      </c>
      <c r="C31" s="316"/>
      <c r="D31" s="317" t="s">
        <v>1</v>
      </c>
      <c r="E31" s="152">
        <v>0</v>
      </c>
      <c r="F31" s="152">
        <f t="shared" si="1"/>
        <v>0</v>
      </c>
      <c r="G31" s="313">
        <f>F31*'ASPE DATA SHEET'!D21</f>
        <v>0</v>
      </c>
      <c r="H31" s="314"/>
      <c r="I31" s="326"/>
    </row>
    <row r="32" spans="1:9" ht="16.5" customHeight="1" x14ac:dyDescent="0.4">
      <c r="A32" s="122"/>
      <c r="B32" s="315" t="s">
        <v>145</v>
      </c>
      <c r="C32" s="316"/>
      <c r="D32" s="317" t="s">
        <v>1</v>
      </c>
      <c r="E32" s="152">
        <v>0</v>
      </c>
      <c r="F32" s="152">
        <f t="shared" si="1"/>
        <v>0</v>
      </c>
      <c r="G32" s="313">
        <f>F32*'ASPE DATA SHEET'!D22</f>
        <v>0</v>
      </c>
      <c r="H32" s="314"/>
      <c r="I32" s="327"/>
    </row>
    <row r="33" spans="1:10" ht="16.5" customHeight="1" x14ac:dyDescent="0.4">
      <c r="A33" s="122"/>
      <c r="B33" s="318" t="s">
        <v>146</v>
      </c>
      <c r="C33" s="319"/>
      <c r="D33" s="319"/>
      <c r="E33" s="319"/>
      <c r="F33" s="320"/>
      <c r="G33" s="321">
        <f>ROUNDUP(SUM(G21:H32),0)</f>
        <v>63679</v>
      </c>
      <c r="H33" s="322"/>
      <c r="I33" s="165">
        <f>ROUNDUP(G33*(2/3),0)</f>
        <v>42453</v>
      </c>
    </row>
    <row r="34" spans="1:10" ht="16.5" customHeight="1" x14ac:dyDescent="0.4">
      <c r="A34" s="17"/>
      <c r="B34" s="125" t="s">
        <v>185</v>
      </c>
      <c r="C34" s="125"/>
      <c r="D34" s="125"/>
      <c r="E34" s="125"/>
      <c r="F34" s="5"/>
      <c r="G34" s="1"/>
      <c r="H34" s="7"/>
      <c r="I34" s="18"/>
    </row>
    <row r="35" spans="1:10" ht="15" customHeight="1" x14ac:dyDescent="0.4">
      <c r="A35" s="21"/>
      <c r="B35" s="10"/>
      <c r="C35" s="10"/>
      <c r="D35" s="10"/>
      <c r="E35" s="10"/>
      <c r="F35" s="10"/>
      <c r="G35" s="10"/>
      <c r="H35" s="10"/>
      <c r="I35" s="22"/>
    </row>
    <row r="36" spans="1:10" ht="16.5" customHeight="1" x14ac:dyDescent="0.4">
      <c r="A36" s="1" t="s">
        <v>21</v>
      </c>
      <c r="B36" s="5"/>
      <c r="C36" s="5"/>
      <c r="D36" s="3" t="s">
        <v>2</v>
      </c>
      <c r="E36" s="5">
        <f>ROUNDUP(G33+I33,0)</f>
        <v>106132</v>
      </c>
      <c r="F36" s="5"/>
      <c r="G36" s="1"/>
      <c r="H36" s="7"/>
      <c r="I36" s="18"/>
    </row>
    <row r="37" spans="1:10" ht="16.5" customHeight="1" x14ac:dyDescent="0.4">
      <c r="A37" s="284" t="s">
        <v>22</v>
      </c>
      <c r="B37" s="285"/>
      <c r="C37" s="285"/>
      <c r="D37" s="3" t="s">
        <v>1</v>
      </c>
      <c r="E37" s="56" t="str">
        <f>E36 &amp;" (btu/hr) / 10,000"</f>
        <v>106132 (btu/hr) / 10,000</v>
      </c>
      <c r="F37" s="4"/>
      <c r="G37" s="3" t="s">
        <v>2</v>
      </c>
      <c r="H37" s="11">
        <f>E36/10000</f>
        <v>10.613200000000001</v>
      </c>
      <c r="I37" s="19" t="s">
        <v>18</v>
      </c>
    </row>
    <row r="38" spans="1:10" ht="16.5" customHeight="1" x14ac:dyDescent="0.4">
      <c r="A38" s="1"/>
      <c r="B38" s="5"/>
      <c r="C38" s="5"/>
      <c r="D38" s="5"/>
      <c r="E38" s="5"/>
      <c r="F38" s="5"/>
      <c r="G38" s="1"/>
      <c r="H38" s="7"/>
      <c r="I38" s="18"/>
    </row>
    <row r="39" spans="1:10" ht="15" thickBot="1" x14ac:dyDescent="0.45">
      <c r="A39" t="s">
        <v>69</v>
      </c>
      <c r="D39" s="3" t="s">
        <v>2</v>
      </c>
      <c r="E39" s="80">
        <f>CEILING(H37,1)</f>
        <v>11</v>
      </c>
      <c r="F39" s="68" t="s">
        <v>18</v>
      </c>
      <c r="G39" s="1"/>
      <c r="H39" s="1"/>
      <c r="I39" s="20"/>
    </row>
    <row r="40" spans="1:10" ht="15" thickBot="1" x14ac:dyDescent="0.45">
      <c r="A40" s="294" t="s">
        <v>70</v>
      </c>
      <c r="B40" s="295"/>
      <c r="C40" s="296"/>
      <c r="D40" s="3" t="s">
        <v>2</v>
      </c>
      <c r="E40" s="70">
        <f>ROUNDUP((E39*20%)+E39,0)</f>
        <v>14</v>
      </c>
      <c r="F40" s="71" t="s">
        <v>18</v>
      </c>
      <c r="G40" s="1"/>
      <c r="H40" s="1" t="s">
        <v>19</v>
      </c>
      <c r="I40" s="20"/>
    </row>
    <row r="41" spans="1:10" ht="15" customHeight="1" x14ac:dyDescent="0.4">
      <c r="A41" s="21"/>
      <c r="B41" s="10"/>
      <c r="C41" s="10"/>
      <c r="D41" s="3" t="s">
        <v>2</v>
      </c>
      <c r="E41" s="96">
        <f>ROUNDUP(E40*0.2271247,1)</f>
        <v>3.2</v>
      </c>
      <c r="F41" s="69" t="s">
        <v>60</v>
      </c>
      <c r="G41" s="10"/>
      <c r="H41" s="10"/>
      <c r="I41" s="22"/>
    </row>
    <row r="42" spans="1:10" ht="15" customHeight="1" x14ac:dyDescent="0.4">
      <c r="A42" s="21"/>
      <c r="B42" s="10"/>
      <c r="C42" s="10"/>
      <c r="D42" s="3" t="s">
        <v>2</v>
      </c>
      <c r="E42" s="81">
        <f>ROUNDUP(E40*0.0630902,0)</f>
        <v>1</v>
      </c>
      <c r="F42" s="67" t="s">
        <v>61</v>
      </c>
      <c r="G42" s="10"/>
      <c r="H42" s="10"/>
      <c r="I42" s="22"/>
    </row>
    <row r="43" spans="1:10" ht="15" customHeight="1" x14ac:dyDescent="0.4">
      <c r="A43" s="21"/>
      <c r="B43" s="10"/>
      <c r="C43" s="10"/>
      <c r="D43" s="10"/>
      <c r="E43" s="10"/>
      <c r="F43" s="10"/>
      <c r="G43" s="10"/>
      <c r="H43" s="10"/>
      <c r="I43" s="22"/>
    </row>
    <row r="44" spans="1:10" x14ac:dyDescent="0.4">
      <c r="A44" s="291" t="s">
        <v>24</v>
      </c>
      <c r="B44" s="292"/>
      <c r="C44" s="292"/>
      <c r="D44" s="292"/>
      <c r="E44" s="292"/>
      <c r="F44" s="292"/>
      <c r="G44" s="292"/>
      <c r="H44" s="292"/>
      <c r="I44" s="293"/>
      <c r="J44" t="s">
        <v>229</v>
      </c>
    </row>
    <row r="45" spans="1:10" x14ac:dyDescent="0.4">
      <c r="A45" s="284" t="s">
        <v>80</v>
      </c>
      <c r="B45" s="285"/>
      <c r="C45" s="285"/>
      <c r="D45" s="285"/>
      <c r="E45" s="285"/>
      <c r="F45" s="285"/>
      <c r="G45" s="59">
        <v>974</v>
      </c>
      <c r="H45" s="59" t="s">
        <v>0</v>
      </c>
      <c r="I45" s="20"/>
    </row>
    <row r="46" spans="1:10" x14ac:dyDescent="0.4">
      <c r="A46" s="284" t="s">
        <v>65</v>
      </c>
      <c r="B46" s="285"/>
      <c r="C46" s="285"/>
      <c r="D46" s="285"/>
      <c r="E46" s="285"/>
      <c r="F46" s="285"/>
      <c r="G46" s="64">
        <v>0.2</v>
      </c>
      <c r="H46" s="159" t="s">
        <v>231</v>
      </c>
      <c r="I46" s="20"/>
    </row>
    <row r="47" spans="1:10" x14ac:dyDescent="0.4">
      <c r="A47" s="284" t="s">
        <v>64</v>
      </c>
      <c r="B47" s="285"/>
      <c r="C47" s="285"/>
      <c r="D47" s="285"/>
      <c r="E47" s="285"/>
      <c r="F47" s="285"/>
      <c r="G47" s="59">
        <f>ROUNDUP((G46*G45)+G45,0)</f>
        <v>1169</v>
      </c>
      <c r="H47" s="59" t="s">
        <v>0</v>
      </c>
      <c r="I47" s="20"/>
    </row>
    <row r="48" spans="1:10" x14ac:dyDescent="0.4">
      <c r="A48" s="284" t="s">
        <v>67</v>
      </c>
      <c r="B48" s="285"/>
      <c r="C48" s="285"/>
      <c r="D48" s="285"/>
      <c r="E48" s="285"/>
      <c r="F48" s="285"/>
      <c r="G48" s="59">
        <v>250</v>
      </c>
      <c r="H48" s="157" t="s">
        <v>232</v>
      </c>
      <c r="I48" s="76" t="s">
        <v>233</v>
      </c>
    </row>
    <row r="49" spans="1:13" x14ac:dyDescent="0.4">
      <c r="A49" s="158"/>
      <c r="B49" s="159"/>
      <c r="C49" s="159"/>
      <c r="D49" s="159"/>
      <c r="E49" s="159"/>
      <c r="F49" s="159"/>
      <c r="G49" s="59"/>
      <c r="H49" s="59"/>
      <c r="I49" s="76" t="s">
        <v>234</v>
      </c>
    </row>
    <row r="50" spans="1:13" ht="15" thickBot="1" x14ac:dyDescent="0.45">
      <c r="A50" s="284" t="s">
        <v>66</v>
      </c>
      <c r="B50" s="285"/>
      <c r="C50" s="285"/>
      <c r="D50" s="285"/>
      <c r="E50" s="285"/>
      <c r="F50" s="285"/>
      <c r="G50" s="61">
        <f>G47*(G48/10000)</f>
        <v>29.225000000000001</v>
      </c>
      <c r="H50" s="61" t="s">
        <v>0</v>
      </c>
      <c r="I50" s="20"/>
    </row>
    <row r="51" spans="1:13" ht="15" thickBot="1" x14ac:dyDescent="0.45">
      <c r="A51" s="294" t="s">
        <v>25</v>
      </c>
      <c r="B51" s="295"/>
      <c r="C51" s="295"/>
      <c r="D51" s="295"/>
      <c r="E51" s="296"/>
      <c r="F51" s="3" t="s">
        <v>2</v>
      </c>
      <c r="G51" s="78">
        <f>ROUNDUP(G50,0)</f>
        <v>30</v>
      </c>
      <c r="H51" s="77" t="s">
        <v>0</v>
      </c>
      <c r="I51" s="20"/>
    </row>
    <row r="52" spans="1:13" x14ac:dyDescent="0.4">
      <c r="I52" s="20"/>
    </row>
    <row r="53" spans="1:13" x14ac:dyDescent="0.4">
      <c r="A53" s="284" t="s">
        <v>80</v>
      </c>
      <c r="B53" s="285"/>
      <c r="C53" s="285"/>
      <c r="D53" s="285"/>
      <c r="E53" s="285"/>
      <c r="F53" s="285"/>
      <c r="G53" s="59">
        <v>4000</v>
      </c>
      <c r="H53" s="59" t="s">
        <v>17</v>
      </c>
      <c r="I53" s="20"/>
    </row>
    <row r="54" spans="1:13" x14ac:dyDescent="0.4">
      <c r="A54" s="284" t="s">
        <v>65</v>
      </c>
      <c r="B54" s="285"/>
      <c r="C54" s="285"/>
      <c r="D54" s="285"/>
      <c r="E54" s="285"/>
      <c r="F54" s="285"/>
      <c r="G54" s="64">
        <v>0.2</v>
      </c>
      <c r="H54" s="159" t="s">
        <v>231</v>
      </c>
      <c r="I54" s="20"/>
    </row>
    <row r="55" spans="1:13" x14ac:dyDescent="0.4">
      <c r="A55" s="284" t="s">
        <v>64</v>
      </c>
      <c r="B55" s="285"/>
      <c r="C55" s="285"/>
      <c r="D55" s="285"/>
      <c r="E55" s="285"/>
      <c r="F55" s="285"/>
      <c r="G55" s="59">
        <f>ROUNDUP((G54*G53)+G53,0)</f>
        <v>4800</v>
      </c>
      <c r="H55" s="59" t="s">
        <v>17</v>
      </c>
      <c r="I55" s="20"/>
    </row>
    <row r="56" spans="1:13" x14ac:dyDescent="0.4">
      <c r="A56" s="284" t="s">
        <v>67</v>
      </c>
      <c r="B56" s="285"/>
      <c r="C56" s="285"/>
      <c r="D56" s="285"/>
      <c r="E56" s="285"/>
      <c r="F56" s="285"/>
      <c r="G56" s="59">
        <v>2.5</v>
      </c>
      <c r="H56" s="157" t="s">
        <v>235</v>
      </c>
      <c r="I56" s="76" t="s">
        <v>236</v>
      </c>
    </row>
    <row r="57" spans="1:13" x14ac:dyDescent="0.4">
      <c r="A57" s="158"/>
      <c r="B57" s="159"/>
      <c r="C57" s="159"/>
      <c r="D57" s="159"/>
      <c r="E57" s="159"/>
      <c r="F57" s="159"/>
      <c r="G57" s="59"/>
      <c r="H57" s="59"/>
      <c r="I57" s="76" t="s">
        <v>234</v>
      </c>
    </row>
    <row r="58" spans="1:13" ht="15" thickBot="1" x14ac:dyDescent="0.45">
      <c r="A58" s="284" t="s">
        <v>66</v>
      </c>
      <c r="B58" s="285"/>
      <c r="C58" s="285"/>
      <c r="D58" s="285"/>
      <c r="E58" s="285"/>
      <c r="F58" s="285"/>
      <c r="G58" s="61">
        <f>G55*(G56/100)</f>
        <v>120</v>
      </c>
      <c r="H58" s="61" t="s">
        <v>17</v>
      </c>
      <c r="I58" s="20"/>
    </row>
    <row r="59" spans="1:13" ht="15" thickBot="1" x14ac:dyDescent="0.45">
      <c r="A59" s="294" t="s">
        <v>25</v>
      </c>
      <c r="B59" s="295"/>
      <c r="C59" s="295"/>
      <c r="D59" s="295"/>
      <c r="E59" s="296"/>
      <c r="F59" s="3" t="s">
        <v>2</v>
      </c>
      <c r="G59" s="78">
        <f>ROUNDUP(G58*0.3048,0)</f>
        <v>37</v>
      </c>
      <c r="H59" s="77" t="s">
        <v>0</v>
      </c>
      <c r="I59" s="20"/>
    </row>
    <row r="60" spans="1:13" x14ac:dyDescent="0.4">
      <c r="A60" s="161"/>
      <c r="B60" s="161"/>
      <c r="C60" s="161"/>
      <c r="D60" s="161"/>
      <c r="E60" s="161"/>
      <c r="F60" s="161"/>
      <c r="G60" s="162"/>
      <c r="H60" s="163"/>
      <c r="I60" s="164"/>
    </row>
    <row r="61" spans="1:13" x14ac:dyDescent="0.4">
      <c r="A61" s="291" t="s">
        <v>55</v>
      </c>
      <c r="B61" s="292"/>
      <c r="C61" s="292"/>
      <c r="D61" s="292"/>
      <c r="E61" s="292"/>
      <c r="F61" s="292"/>
      <c r="G61" s="292"/>
      <c r="H61" s="292"/>
      <c r="I61" s="293"/>
    </row>
    <row r="62" spans="1:13" x14ac:dyDescent="0.4">
      <c r="A62" s="284" t="s">
        <v>58</v>
      </c>
      <c r="B62" s="285"/>
      <c r="C62" s="285"/>
      <c r="D62" s="285"/>
      <c r="E62" s="285"/>
      <c r="F62" s="285"/>
      <c r="G62" s="62">
        <v>1000</v>
      </c>
      <c r="H62" s="2"/>
      <c r="I62" s="20"/>
      <c r="M62" s="66"/>
    </row>
    <row r="63" spans="1:13" x14ac:dyDescent="0.4">
      <c r="A63" s="284" t="s">
        <v>59</v>
      </c>
      <c r="B63" s="285"/>
      <c r="C63" s="285"/>
      <c r="D63" s="285"/>
      <c r="E63" s="285"/>
      <c r="F63" s="285"/>
      <c r="G63" s="63">
        <v>9.81</v>
      </c>
      <c r="H63" s="2"/>
      <c r="I63" s="20"/>
    </row>
    <row r="64" spans="1:13" ht="15" thickBot="1" x14ac:dyDescent="0.45">
      <c r="A64" s="284" t="s">
        <v>56</v>
      </c>
      <c r="B64" s="285"/>
      <c r="C64" s="285"/>
      <c r="D64" s="285"/>
      <c r="E64" s="285"/>
      <c r="F64" s="285"/>
      <c r="G64" s="64">
        <v>0.6</v>
      </c>
      <c r="H64" s="72" t="s">
        <v>68</v>
      </c>
      <c r="I64" s="20"/>
    </row>
    <row r="65" spans="1:9" ht="15" thickBot="1" x14ac:dyDescent="0.45">
      <c r="A65" s="311" t="s">
        <v>71</v>
      </c>
      <c r="B65" s="312"/>
      <c r="C65" s="312"/>
      <c r="D65" s="312"/>
      <c r="E65" s="312"/>
      <c r="F65" s="329"/>
      <c r="G65" s="79">
        <f>IF(J44="Meter",((G62*G63*G51*(E42/1000))/G64)/1000,IF(J44="",((G62*G63*G51*(E42/1000))/G64)/1000,((G62*G63*G59*(E42/1000))/G64)/1000))</f>
        <v>0.6049500000000001</v>
      </c>
      <c r="H65" s="77" t="s">
        <v>62</v>
      </c>
      <c r="I65" s="20"/>
    </row>
    <row r="66" spans="1:9" ht="15" thickBot="1" x14ac:dyDescent="0.45">
      <c r="A66" s="58"/>
      <c r="B66" s="59"/>
      <c r="C66" s="59"/>
      <c r="D66" s="59"/>
      <c r="E66" s="59"/>
      <c r="F66" s="59"/>
      <c r="H66" s="2"/>
      <c r="I66" s="20"/>
    </row>
    <row r="67" spans="1:9" ht="15" customHeight="1" thickBot="1" x14ac:dyDescent="0.45">
      <c r="A67" s="73" t="s">
        <v>54</v>
      </c>
      <c r="B67" s="308" t="str">
        <f>IF(J44="","PLEASE SELECT (H, Q) REQUIRED FOR YOUR PUMP",IF(J44="Meter","Duplex Pump Set; each "&amp;(E40)&amp;" gpm flow @ "&amp;(G51)&amp;" m head with "&amp;'ASPE DATA SHEET'!H48&amp;" KW each; (1-Working + 1 Standby)","Duplex Pump Set; each "&amp;(E40)&amp;" gpm flow @ "&amp;(G59)&amp;" m head with "&amp;'ASPE DATA SHEET'!H48&amp;" KW each; (1-Working + 1 Standby)"))</f>
        <v>Duplex Pump Set; each 14 gpm flow @ 37 m head with 1 KW each; (1-Working + 1 Standby)</v>
      </c>
      <c r="C67" s="309"/>
      <c r="D67" s="309"/>
      <c r="E67" s="309"/>
      <c r="F67" s="309"/>
      <c r="G67" s="309"/>
      <c r="H67" s="309"/>
      <c r="I67" s="310"/>
    </row>
    <row r="68" spans="1:9" x14ac:dyDescent="0.4">
      <c r="A68" s="74"/>
      <c r="B68" s="74"/>
      <c r="C68" s="74"/>
      <c r="D68" s="74"/>
      <c r="E68" s="74"/>
      <c r="F68" s="74"/>
      <c r="G68" s="74"/>
      <c r="H68" s="74"/>
      <c r="I68" s="75"/>
    </row>
  </sheetData>
  <mergeCells count="68">
    <mergeCell ref="A58:F58"/>
    <mergeCell ref="A59:E59"/>
    <mergeCell ref="A51:E51"/>
    <mergeCell ref="A53:F53"/>
    <mergeCell ref="A54:F54"/>
    <mergeCell ref="A55:F55"/>
    <mergeCell ref="A56:F56"/>
    <mergeCell ref="A45:F45"/>
    <mergeCell ref="A46:F46"/>
    <mergeCell ref="A47:F47"/>
    <mergeCell ref="A48:F48"/>
    <mergeCell ref="A50:F50"/>
    <mergeCell ref="A2:I2"/>
    <mergeCell ref="B3:G3"/>
    <mergeCell ref="B4:G4"/>
    <mergeCell ref="A6:B6"/>
    <mergeCell ref="B8:C8"/>
    <mergeCell ref="D8:F8"/>
    <mergeCell ref="B9:C9"/>
    <mergeCell ref="D9:F9"/>
    <mergeCell ref="B10:C10"/>
    <mergeCell ref="D10:F10"/>
    <mergeCell ref="B11:C11"/>
    <mergeCell ref="D11:F11"/>
    <mergeCell ref="A40:C40"/>
    <mergeCell ref="A44:I44"/>
    <mergeCell ref="B12:C12"/>
    <mergeCell ref="D12:F12"/>
    <mergeCell ref="A15:I15"/>
    <mergeCell ref="B29:D29"/>
    <mergeCell ref="G29:H29"/>
    <mergeCell ref="B30:D30"/>
    <mergeCell ref="B28:D28"/>
    <mergeCell ref="G28:H28"/>
    <mergeCell ref="B19:D20"/>
    <mergeCell ref="G19:H20"/>
    <mergeCell ref="B21:D21"/>
    <mergeCell ref="G21:H21"/>
    <mergeCell ref="G27:H27"/>
    <mergeCell ref="G22:H22"/>
    <mergeCell ref="A63:F63"/>
    <mergeCell ref="A64:F64"/>
    <mergeCell ref="A65:F65"/>
    <mergeCell ref="B67:I67"/>
    <mergeCell ref="A61:I61"/>
    <mergeCell ref="A62:F62"/>
    <mergeCell ref="B25:D25"/>
    <mergeCell ref="B33:F33"/>
    <mergeCell ref="G33:H33"/>
    <mergeCell ref="I19:I20"/>
    <mergeCell ref="I21:I32"/>
    <mergeCell ref="G25:H25"/>
    <mergeCell ref="B26:D26"/>
    <mergeCell ref="G26:H26"/>
    <mergeCell ref="E19:E20"/>
    <mergeCell ref="F19:F20"/>
    <mergeCell ref="B27:D27"/>
    <mergeCell ref="B23:D23"/>
    <mergeCell ref="G23:H23"/>
    <mergeCell ref="B24:D24"/>
    <mergeCell ref="G24:H24"/>
    <mergeCell ref="B22:D22"/>
    <mergeCell ref="A37:C37"/>
    <mergeCell ref="G30:H30"/>
    <mergeCell ref="B31:D31"/>
    <mergeCell ref="G31:H31"/>
    <mergeCell ref="B32:D32"/>
    <mergeCell ref="G32:H32"/>
  </mergeCells>
  <pageMargins left="0.7" right="0.7" top="0.75" bottom="0.75" header="0.3" footer="0.3"/>
  <pageSetup paperSize="9" scale="56" orientation="portrait" r:id="rId1"/>
  <headerFooter>
    <oddFooter>Page &amp;P of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200-000000000000}">
          <x14:formula1>
            <xm:f>'ASPE DATA SHEET'!$K$42:$K$44</xm:f>
          </x14:formula1>
          <xm:sqref>J44</xm:sqref>
        </x14:dataValidation>
        <x14:dataValidation type="list" allowBlank="1" showInputMessage="1" showErrorMessage="1" xr:uid="{00000000-0002-0000-0200-000001000000}">
          <x14:formula1>
            <xm:f>'ASPE DATA SHEET'!$L$43:$L$47</xm:f>
          </x14:formula1>
          <xm:sqref>G46 G54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  <pageSetUpPr fitToPage="1"/>
  </sheetPr>
  <dimension ref="A2:L191"/>
  <sheetViews>
    <sheetView view="pageBreakPreview" zoomScale="85" zoomScaleNormal="85" zoomScaleSheetLayoutView="85" workbookViewId="0">
      <selection activeCell="K4" sqref="K4"/>
    </sheetView>
  </sheetViews>
  <sheetFormatPr defaultRowHeight="14.6" x14ac:dyDescent="0.4"/>
  <cols>
    <col min="1" max="1" width="13.15234375" bestFit="1" customWidth="1"/>
    <col min="2" max="2" width="13.84375" customWidth="1"/>
    <col min="3" max="3" width="14.53515625" bestFit="1" customWidth="1"/>
    <col min="4" max="4" width="15.3828125" customWidth="1"/>
    <col min="5" max="5" width="13.53515625" bestFit="1" customWidth="1"/>
    <col min="6" max="6" width="15.15234375" bestFit="1" customWidth="1"/>
    <col min="7" max="7" width="11.69140625" customWidth="1"/>
    <col min="8" max="8" width="13.15234375" customWidth="1"/>
    <col min="9" max="9" width="13.3046875" bestFit="1" customWidth="1"/>
    <col min="10" max="10" width="10.53515625" bestFit="1" customWidth="1"/>
    <col min="11" max="11" width="17" bestFit="1" customWidth="1"/>
  </cols>
  <sheetData>
    <row r="2" spans="1:12" x14ac:dyDescent="0.4">
      <c r="A2" s="336" t="s">
        <v>391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2" x14ac:dyDescent="0.4">
      <c r="A3" s="91" t="s">
        <v>12</v>
      </c>
      <c r="B3" s="337" t="s">
        <v>50</v>
      </c>
      <c r="C3" s="337"/>
      <c r="D3" s="337"/>
      <c r="E3" s="337"/>
      <c r="F3" s="337"/>
      <c r="G3" s="337"/>
      <c r="H3" s="337"/>
      <c r="I3" s="337"/>
      <c r="J3" s="91" t="s">
        <v>13</v>
      </c>
      <c r="K3" s="93">
        <f ca="1">TODAY()</f>
        <v>44867</v>
      </c>
    </row>
    <row r="4" spans="1:12" x14ac:dyDescent="0.4">
      <c r="A4" s="94" t="s">
        <v>14</v>
      </c>
      <c r="B4" s="338" t="s">
        <v>392</v>
      </c>
      <c r="C4" s="338"/>
      <c r="D4" s="338"/>
      <c r="E4" s="338"/>
      <c r="F4" s="338"/>
      <c r="G4" s="338"/>
      <c r="H4" s="338"/>
      <c r="I4" s="338"/>
      <c r="J4" s="94" t="s">
        <v>15</v>
      </c>
      <c r="K4" s="283"/>
    </row>
    <row r="5" spans="1:12" ht="15" thickBot="1" x14ac:dyDescent="0.45">
      <c r="E5" s="169"/>
      <c r="F5" s="169"/>
    </row>
    <row r="6" spans="1:12" ht="15" thickBot="1" x14ac:dyDescent="0.45">
      <c r="A6" s="359" t="s">
        <v>390</v>
      </c>
      <c r="B6" s="360"/>
      <c r="C6" s="361"/>
      <c r="E6" s="356" t="s">
        <v>389</v>
      </c>
      <c r="F6" s="357"/>
      <c r="G6" s="357"/>
      <c r="H6" s="357"/>
      <c r="I6" s="357"/>
      <c r="J6" s="357"/>
      <c r="K6" s="358"/>
    </row>
    <row r="8" spans="1:12" ht="15" thickBot="1" x14ac:dyDescent="0.45"/>
    <row r="9" spans="1:12" ht="15" customHeight="1" x14ac:dyDescent="0.4">
      <c r="A9" s="341" t="s">
        <v>239</v>
      </c>
      <c r="B9" s="343" t="s">
        <v>254</v>
      </c>
      <c r="C9" s="345" t="s">
        <v>240</v>
      </c>
      <c r="E9" s="347" t="s">
        <v>241</v>
      </c>
      <c r="F9" s="349" t="s">
        <v>242</v>
      </c>
      <c r="G9" s="351" t="s">
        <v>243</v>
      </c>
      <c r="H9" s="354" t="s">
        <v>244</v>
      </c>
      <c r="I9" s="354" t="s">
        <v>245</v>
      </c>
      <c r="J9" s="354" t="s">
        <v>246</v>
      </c>
      <c r="K9" s="339" t="s">
        <v>247</v>
      </c>
      <c r="L9" s="5"/>
    </row>
    <row r="10" spans="1:12" ht="15" customHeight="1" x14ac:dyDescent="0.4">
      <c r="A10" s="342"/>
      <c r="B10" s="344"/>
      <c r="C10" s="346"/>
      <c r="E10" s="348"/>
      <c r="F10" s="350"/>
      <c r="G10" s="352"/>
      <c r="H10" s="355"/>
      <c r="I10" s="355"/>
      <c r="J10" s="355"/>
      <c r="K10" s="340"/>
      <c r="L10" s="7"/>
    </row>
    <row r="11" spans="1:12" x14ac:dyDescent="0.4">
      <c r="A11" s="342"/>
      <c r="B11" s="344"/>
      <c r="C11" s="346"/>
      <c r="E11" s="348"/>
      <c r="F11" s="350"/>
      <c r="G11" s="353"/>
      <c r="H11" s="355"/>
      <c r="I11" s="355"/>
      <c r="J11" s="355"/>
      <c r="K11" s="340"/>
      <c r="L11" s="173"/>
    </row>
    <row r="12" spans="1:12" x14ac:dyDescent="0.4">
      <c r="A12" s="166"/>
      <c r="B12" s="167" t="s">
        <v>255</v>
      </c>
      <c r="C12" s="168" t="s">
        <v>248</v>
      </c>
      <c r="E12" s="282" t="s">
        <v>249</v>
      </c>
      <c r="F12" s="167" t="s">
        <v>250</v>
      </c>
      <c r="G12" s="167" t="s">
        <v>251</v>
      </c>
      <c r="H12" s="167" t="s">
        <v>251</v>
      </c>
      <c r="I12" s="167" t="s">
        <v>251</v>
      </c>
      <c r="J12" s="167" t="s">
        <v>252</v>
      </c>
      <c r="K12" s="168" t="s">
        <v>253</v>
      </c>
      <c r="L12" s="172"/>
    </row>
    <row r="13" spans="1:12" x14ac:dyDescent="0.4">
      <c r="A13" s="174"/>
      <c r="B13" s="203">
        <v>0.1</v>
      </c>
      <c r="C13" s="176">
        <f ca="1">('[6]HWS PIPE SIZER'!L17)*B13</f>
        <v>0.94000000000000006</v>
      </c>
      <c r="E13" s="176">
        <f t="shared" ref="E13:E43" ca="1" si="0">ROUND(C13*0.0630902,3)</f>
        <v>5.8999999999999997E-2</v>
      </c>
      <c r="F13" s="177">
        <f t="shared" ref="F13:F43" ca="1" si="1">ROUND((E13*4*1000)/(G13^2*3.141592654),2)</f>
        <v>0.36</v>
      </c>
      <c r="G13" s="178">
        <f>VLOOKUP(H13,'[6]STD PIPE SIZE'!$G$8:$H$21,2,FALSE)</f>
        <v>14.4</v>
      </c>
      <c r="H13" s="179">
        <v>20</v>
      </c>
      <c r="I13" s="180" t="str">
        <f>"Ø "&amp;H13&amp; " mm"</f>
        <v>Ø 20 mm</v>
      </c>
      <c r="J13" s="181">
        <f>VLOOKUP(H13,'STD PIPE SIZE'!$I$29:$J$42,2,FALSE)</f>
        <v>0.75</v>
      </c>
      <c r="K13" s="182">
        <f ca="1">ROUND(F13*3.280839895,3)</f>
        <v>1.181</v>
      </c>
      <c r="L13" s="183"/>
    </row>
    <row r="14" spans="1:12" x14ac:dyDescent="0.4">
      <c r="A14" s="184"/>
      <c r="B14" s="204">
        <v>0.1</v>
      </c>
      <c r="C14" s="185">
        <f ca="1">('[6]HWS PIPE SIZER'!L18)*B14</f>
        <v>0.94000000000000006</v>
      </c>
      <c r="E14" s="185">
        <f t="shared" ca="1" si="0"/>
        <v>5.8999999999999997E-2</v>
      </c>
      <c r="F14" s="186">
        <f t="shared" ca="1" si="1"/>
        <v>0.23</v>
      </c>
      <c r="G14" s="187">
        <f>VLOOKUP(H14,'[6]STD PIPE SIZE'!$G$8:$H$21,2,FALSE)</f>
        <v>18</v>
      </c>
      <c r="H14" s="187">
        <v>25</v>
      </c>
      <c r="I14" s="186" t="str">
        <f>"Ø "&amp;H14&amp; " mm"</f>
        <v>Ø 25 mm</v>
      </c>
      <c r="J14" s="188">
        <f>VLOOKUP(H14,'STD PIPE SIZE'!$I$29:$J$42,2,FALSE)</f>
        <v>1</v>
      </c>
      <c r="K14" s="185">
        <f ca="1">ROUND(F14*3.280839895,3)</f>
        <v>0.755</v>
      </c>
      <c r="L14" s="183"/>
    </row>
    <row r="15" spans="1:12" x14ac:dyDescent="0.4">
      <c r="A15" s="184"/>
      <c r="B15" s="204">
        <v>0.1</v>
      </c>
      <c r="C15" s="185">
        <f ca="1">('[6]HWS PIPE SIZER'!L19)*B15</f>
        <v>0.94000000000000006</v>
      </c>
      <c r="E15" s="185">
        <f t="shared" ca="1" si="0"/>
        <v>5.8999999999999997E-2</v>
      </c>
      <c r="F15" s="186">
        <f t="shared" ca="1" si="1"/>
        <v>0.23</v>
      </c>
      <c r="G15" s="187">
        <f>VLOOKUP(H15,'[6]STD PIPE SIZE'!$G$8:$H$21,2,FALSE)</f>
        <v>18</v>
      </c>
      <c r="H15" s="187">
        <v>25</v>
      </c>
      <c r="I15" s="186" t="str">
        <f>"Ø "&amp;H15&amp; " mm"</f>
        <v>Ø 25 mm</v>
      </c>
      <c r="J15" s="188">
        <f>VLOOKUP(H15,'STD PIPE SIZE'!$I$29:$J$42,2,FALSE)</f>
        <v>1</v>
      </c>
      <c r="K15" s="185">
        <f t="shared" ref="K15:K43" ca="1" si="2">ROUND(F15*3.280839895,3)</f>
        <v>0.755</v>
      </c>
      <c r="L15" s="183"/>
    </row>
    <row r="16" spans="1:12" x14ac:dyDescent="0.4">
      <c r="A16" s="174"/>
      <c r="B16" s="204">
        <v>0.1</v>
      </c>
      <c r="C16" s="185">
        <f ca="1">('[6]HWS PIPE SIZER'!L20)*B16</f>
        <v>0.94000000000000006</v>
      </c>
      <c r="E16" s="175">
        <f t="shared" ca="1" si="0"/>
        <v>5.8999999999999997E-2</v>
      </c>
      <c r="F16" s="180">
        <f t="shared" ca="1" si="1"/>
        <v>0.23</v>
      </c>
      <c r="G16" s="178">
        <f>VLOOKUP(H16,'[6]STD PIPE SIZE'!$G$8:$H$21,2,FALSE)</f>
        <v>18</v>
      </c>
      <c r="H16" s="187">
        <v>25</v>
      </c>
      <c r="I16" s="180" t="str">
        <f>"Ø "&amp;H16&amp; " mm"</f>
        <v>Ø 25 mm</v>
      </c>
      <c r="J16" s="188">
        <f>VLOOKUP(H16,'STD PIPE SIZE'!$I$29:$J$42,2,FALSE)</f>
        <v>1</v>
      </c>
      <c r="K16" s="185">
        <f t="shared" ca="1" si="2"/>
        <v>0.755</v>
      </c>
      <c r="L16" s="183"/>
    </row>
    <row r="17" spans="1:12" x14ac:dyDescent="0.4">
      <c r="A17" s="184"/>
      <c r="B17" s="204">
        <v>0.1</v>
      </c>
      <c r="C17" s="185">
        <f ca="1">('[6]HWS PIPE SIZER'!L21)*B17</f>
        <v>0.94000000000000006</v>
      </c>
      <c r="E17" s="185">
        <f t="shared" ca="1" si="0"/>
        <v>5.8999999999999997E-2</v>
      </c>
      <c r="F17" s="186">
        <f t="shared" ca="1" si="1"/>
        <v>0.23</v>
      </c>
      <c r="G17" s="187">
        <f>VLOOKUP(H17,'[6]STD PIPE SIZE'!$G$8:$H$21,2,FALSE)</f>
        <v>18</v>
      </c>
      <c r="H17" s="187">
        <v>25</v>
      </c>
      <c r="I17" s="186" t="str">
        <f t="shared" ref="I17:I43" si="3">"Ø "&amp;H17&amp; " mm"</f>
        <v>Ø 25 mm</v>
      </c>
      <c r="J17" s="188">
        <f>VLOOKUP(H17,'STD PIPE SIZE'!$I$29:$J$42,2,FALSE)</f>
        <v>1</v>
      </c>
      <c r="K17" s="185">
        <f t="shared" ca="1" si="2"/>
        <v>0.755</v>
      </c>
      <c r="L17" s="189"/>
    </row>
    <row r="18" spans="1:12" x14ac:dyDescent="0.4">
      <c r="A18" s="174"/>
      <c r="B18" s="204">
        <v>0.1</v>
      </c>
      <c r="C18" s="185">
        <f ca="1">('[6]HWS PIPE SIZER'!L22)*B18</f>
        <v>0.94000000000000006</v>
      </c>
      <c r="E18" s="175">
        <f t="shared" ca="1" si="0"/>
        <v>5.8999999999999997E-2</v>
      </c>
      <c r="F18" s="180">
        <f t="shared" ca="1" si="1"/>
        <v>0.23</v>
      </c>
      <c r="G18" s="178">
        <f>VLOOKUP(H18,'[6]STD PIPE SIZE'!$G$8:$H$21,2,FALSE)</f>
        <v>18</v>
      </c>
      <c r="H18" s="187">
        <v>25</v>
      </c>
      <c r="I18" s="180" t="str">
        <f t="shared" si="3"/>
        <v>Ø 25 mm</v>
      </c>
      <c r="J18" s="188">
        <f>VLOOKUP(H18,'STD PIPE SIZE'!$I$29:$J$42,2,FALSE)</f>
        <v>1</v>
      </c>
      <c r="K18" s="185">
        <f t="shared" ca="1" si="2"/>
        <v>0.755</v>
      </c>
      <c r="L18" s="189"/>
    </row>
    <row r="19" spans="1:12" x14ac:dyDescent="0.4">
      <c r="A19" s="184"/>
      <c r="B19" s="204">
        <v>0.1</v>
      </c>
      <c r="C19" s="185">
        <f ca="1">('[6]HWS PIPE SIZER'!L23)*B19</f>
        <v>0.94000000000000006</v>
      </c>
      <c r="E19" s="185">
        <f t="shared" ca="1" si="0"/>
        <v>5.8999999999999997E-2</v>
      </c>
      <c r="F19" s="186">
        <f t="shared" ca="1" si="1"/>
        <v>0.23</v>
      </c>
      <c r="G19" s="187">
        <f>VLOOKUP(H19,'[6]STD PIPE SIZE'!$G$8:$H$21,2,FALSE)</f>
        <v>18</v>
      </c>
      <c r="H19" s="187">
        <v>25</v>
      </c>
      <c r="I19" s="186" t="str">
        <f t="shared" si="3"/>
        <v>Ø 25 mm</v>
      </c>
      <c r="J19" s="188">
        <f>VLOOKUP(H19,'STD PIPE SIZE'!$I$29:$J$42,2,FALSE)</f>
        <v>1</v>
      </c>
      <c r="K19" s="185">
        <f t="shared" ca="1" si="2"/>
        <v>0.755</v>
      </c>
      <c r="L19" s="190"/>
    </row>
    <row r="20" spans="1:12" x14ac:dyDescent="0.4">
      <c r="A20" s="174"/>
      <c r="B20" s="204">
        <v>0.1</v>
      </c>
      <c r="C20" s="185">
        <f ca="1">('[6]HWS PIPE SIZER'!L24)*B20</f>
        <v>0.94000000000000006</v>
      </c>
      <c r="E20" s="175">
        <f t="shared" ca="1" si="0"/>
        <v>5.8999999999999997E-2</v>
      </c>
      <c r="F20" s="180">
        <f t="shared" ca="1" si="1"/>
        <v>0.23</v>
      </c>
      <c r="G20" s="178">
        <f>VLOOKUP(H20,'[6]STD PIPE SIZE'!$G$8:$H$21,2,FALSE)</f>
        <v>18</v>
      </c>
      <c r="H20" s="187">
        <v>25</v>
      </c>
      <c r="I20" s="180" t="str">
        <f t="shared" si="3"/>
        <v>Ø 25 mm</v>
      </c>
      <c r="J20" s="188">
        <f>VLOOKUP(H20,'STD PIPE SIZE'!$I$29:$J$42,2,FALSE)</f>
        <v>1</v>
      </c>
      <c r="K20" s="185">
        <f t="shared" ca="1" si="2"/>
        <v>0.755</v>
      </c>
      <c r="L20" s="172"/>
    </row>
    <row r="21" spans="1:12" x14ac:dyDescent="0.4">
      <c r="A21" s="184"/>
      <c r="B21" s="204">
        <v>0.1</v>
      </c>
      <c r="C21" s="185">
        <f ca="1">('[6]HWS PIPE SIZER'!L25)*B21</f>
        <v>0.94000000000000006</v>
      </c>
      <c r="E21" s="185">
        <f t="shared" ca="1" si="0"/>
        <v>5.8999999999999997E-2</v>
      </c>
      <c r="F21" s="186">
        <f t="shared" ca="1" si="1"/>
        <v>0.23</v>
      </c>
      <c r="G21" s="187">
        <f>VLOOKUP(H21,'[6]STD PIPE SIZE'!$G$8:$H$21,2,FALSE)</f>
        <v>18</v>
      </c>
      <c r="H21" s="187">
        <v>25</v>
      </c>
      <c r="I21" s="186" t="str">
        <f t="shared" si="3"/>
        <v>Ø 25 mm</v>
      </c>
      <c r="J21" s="188">
        <f>VLOOKUP(H21,'STD PIPE SIZE'!$I$29:$J$42,2,FALSE)</f>
        <v>1</v>
      </c>
      <c r="K21" s="185">
        <f t="shared" ca="1" si="2"/>
        <v>0.755</v>
      </c>
      <c r="L21" s="190"/>
    </row>
    <row r="22" spans="1:12" ht="13.95" customHeight="1" x14ac:dyDescent="0.4">
      <c r="A22" s="174"/>
      <c r="B22" s="204">
        <v>0.1</v>
      </c>
      <c r="C22" s="185">
        <f ca="1">('[6]HWS PIPE SIZER'!L26)*B22</f>
        <v>0.94000000000000006</v>
      </c>
      <c r="E22" s="175">
        <f t="shared" ca="1" si="0"/>
        <v>5.8999999999999997E-2</v>
      </c>
      <c r="F22" s="180">
        <f t="shared" ca="1" si="1"/>
        <v>0.23</v>
      </c>
      <c r="G22" s="178">
        <f>VLOOKUP(H22,'[6]STD PIPE SIZE'!$G$8:$H$21,2,FALSE)</f>
        <v>18</v>
      </c>
      <c r="H22" s="187">
        <v>25</v>
      </c>
      <c r="I22" s="180" t="str">
        <f t="shared" si="3"/>
        <v>Ø 25 mm</v>
      </c>
      <c r="J22" s="188">
        <f>VLOOKUP(H22,'STD PIPE SIZE'!$I$29:$J$42,2,FALSE)</f>
        <v>1</v>
      </c>
      <c r="K22" s="185">
        <f t="shared" ca="1" si="2"/>
        <v>0.755</v>
      </c>
      <c r="L22" s="190"/>
    </row>
    <row r="23" spans="1:12" x14ac:dyDescent="0.4">
      <c r="A23" s="184"/>
      <c r="B23" s="204">
        <v>0.1</v>
      </c>
      <c r="C23" s="185">
        <f ca="1">('[6]HWS PIPE SIZER'!L27)*B23</f>
        <v>0.94000000000000006</v>
      </c>
      <c r="E23" s="185">
        <f t="shared" ca="1" si="0"/>
        <v>5.8999999999999997E-2</v>
      </c>
      <c r="F23" s="186">
        <f t="shared" ca="1" si="1"/>
        <v>0.23</v>
      </c>
      <c r="G23" s="187">
        <f>VLOOKUP(H23,'[6]STD PIPE SIZE'!$G$8:$H$21,2,FALSE)</f>
        <v>18</v>
      </c>
      <c r="H23" s="187">
        <v>25</v>
      </c>
      <c r="I23" s="186" t="str">
        <f t="shared" si="3"/>
        <v>Ø 25 mm</v>
      </c>
      <c r="J23" s="188">
        <f>VLOOKUP(H23,'STD PIPE SIZE'!$I$29:$J$42,2,FALSE)</f>
        <v>1</v>
      </c>
      <c r="K23" s="185">
        <f t="shared" ca="1" si="2"/>
        <v>0.755</v>
      </c>
      <c r="L23" s="190"/>
    </row>
    <row r="24" spans="1:12" x14ac:dyDescent="0.4">
      <c r="A24" s="174"/>
      <c r="B24" s="204">
        <v>0.1</v>
      </c>
      <c r="C24" s="185">
        <f ca="1">('[6]HWS PIPE SIZER'!L28)*B24</f>
        <v>0.94000000000000006</v>
      </c>
      <c r="E24" s="175">
        <f t="shared" ca="1" si="0"/>
        <v>5.8999999999999997E-2</v>
      </c>
      <c r="F24" s="180">
        <f t="shared" ca="1" si="1"/>
        <v>0.23</v>
      </c>
      <c r="G24" s="178">
        <f>VLOOKUP(H24,'[6]STD PIPE SIZE'!$G$8:$H$21,2,FALSE)</f>
        <v>18</v>
      </c>
      <c r="H24" s="187">
        <v>25</v>
      </c>
      <c r="I24" s="180" t="str">
        <f t="shared" si="3"/>
        <v>Ø 25 mm</v>
      </c>
      <c r="J24" s="188">
        <f>VLOOKUP(H24,'STD PIPE SIZE'!$I$29:$J$42,2,FALSE)</f>
        <v>1</v>
      </c>
      <c r="K24" s="185">
        <f t="shared" ca="1" si="2"/>
        <v>0.755</v>
      </c>
      <c r="L24" s="190"/>
    </row>
    <row r="25" spans="1:12" x14ac:dyDescent="0.4">
      <c r="A25" s="184"/>
      <c r="B25" s="204">
        <v>0.1</v>
      </c>
      <c r="C25" s="185">
        <f ca="1">('[6]HWS PIPE SIZER'!L29)*B25</f>
        <v>0.94000000000000006</v>
      </c>
      <c r="E25" s="185">
        <f t="shared" ca="1" si="0"/>
        <v>5.8999999999999997E-2</v>
      </c>
      <c r="F25" s="186">
        <f t="shared" ca="1" si="1"/>
        <v>0.23</v>
      </c>
      <c r="G25" s="187">
        <f>VLOOKUP(H25,'[6]STD PIPE SIZE'!$G$8:$H$21,2,FALSE)</f>
        <v>18</v>
      </c>
      <c r="H25" s="187">
        <v>25</v>
      </c>
      <c r="I25" s="186" t="str">
        <f t="shared" si="3"/>
        <v>Ø 25 mm</v>
      </c>
      <c r="J25" s="188">
        <f>VLOOKUP(H25,'STD PIPE SIZE'!$I$29:$J$42,2,FALSE)</f>
        <v>1</v>
      </c>
      <c r="K25" s="185">
        <f t="shared" ca="1" si="2"/>
        <v>0.755</v>
      </c>
      <c r="L25" s="190"/>
    </row>
    <row r="26" spans="1:12" x14ac:dyDescent="0.4">
      <c r="A26" s="184"/>
      <c r="B26" s="204">
        <v>0.1</v>
      </c>
      <c r="C26" s="185">
        <f ca="1">('[6]HWS PIPE SIZER'!L30)*B26</f>
        <v>0.94000000000000006</v>
      </c>
      <c r="E26" s="185">
        <f t="shared" ca="1" si="0"/>
        <v>5.8999999999999997E-2</v>
      </c>
      <c r="F26" s="186">
        <f t="shared" ca="1" si="1"/>
        <v>0.23</v>
      </c>
      <c r="G26" s="187">
        <f>VLOOKUP(H26,'[6]STD PIPE SIZE'!$G$8:$H$21,2,FALSE)</f>
        <v>18</v>
      </c>
      <c r="H26" s="187">
        <v>25</v>
      </c>
      <c r="I26" s="186" t="str">
        <f t="shared" si="3"/>
        <v>Ø 25 mm</v>
      </c>
      <c r="J26" s="188">
        <f>VLOOKUP(H26,'STD PIPE SIZE'!$I$29:$J$42,2,FALSE)</f>
        <v>1</v>
      </c>
      <c r="K26" s="185">
        <f t="shared" ca="1" si="2"/>
        <v>0.755</v>
      </c>
      <c r="L26" s="190"/>
    </row>
    <row r="27" spans="1:12" x14ac:dyDescent="0.4">
      <c r="A27" s="174"/>
      <c r="B27" s="204">
        <v>0.1</v>
      </c>
      <c r="C27" s="185">
        <f ca="1">('[6]HWS PIPE SIZER'!L31)*B27</f>
        <v>0.94000000000000006</v>
      </c>
      <c r="E27" s="175">
        <f t="shared" ca="1" si="0"/>
        <v>5.8999999999999997E-2</v>
      </c>
      <c r="F27" s="180">
        <f t="shared" ca="1" si="1"/>
        <v>0.23</v>
      </c>
      <c r="G27" s="178">
        <f>VLOOKUP(H27,'[6]STD PIPE SIZE'!$G$8:$H$21,2,FALSE)</f>
        <v>18</v>
      </c>
      <c r="H27" s="187">
        <v>25</v>
      </c>
      <c r="I27" s="180" t="str">
        <f t="shared" si="3"/>
        <v>Ø 25 mm</v>
      </c>
      <c r="J27" s="188">
        <f>VLOOKUP(H27,'STD PIPE SIZE'!$I$29:$J$42,2,FALSE)</f>
        <v>1</v>
      </c>
      <c r="K27" s="185">
        <f t="shared" ca="1" si="2"/>
        <v>0.755</v>
      </c>
      <c r="L27" s="190"/>
    </row>
    <row r="28" spans="1:12" x14ac:dyDescent="0.4">
      <c r="A28" s="184"/>
      <c r="B28" s="204">
        <v>0.1</v>
      </c>
      <c r="C28" s="185">
        <f ca="1">('[6]HWS PIPE SIZER'!L32)*B28</f>
        <v>0.94000000000000006</v>
      </c>
      <c r="E28" s="185">
        <f t="shared" ca="1" si="0"/>
        <v>5.8999999999999997E-2</v>
      </c>
      <c r="F28" s="186">
        <f t="shared" ca="1" si="1"/>
        <v>0.23</v>
      </c>
      <c r="G28" s="187">
        <f>VLOOKUP(H28,'[6]STD PIPE SIZE'!$G$8:$H$21,2,FALSE)</f>
        <v>18</v>
      </c>
      <c r="H28" s="187">
        <v>25</v>
      </c>
      <c r="I28" s="186" t="str">
        <f t="shared" si="3"/>
        <v>Ø 25 mm</v>
      </c>
      <c r="J28" s="188">
        <f>VLOOKUP(H28,'STD PIPE SIZE'!$I$29:$J$42,2,FALSE)</f>
        <v>1</v>
      </c>
      <c r="K28" s="185">
        <f t="shared" ca="1" si="2"/>
        <v>0.755</v>
      </c>
      <c r="L28" s="190"/>
    </row>
    <row r="29" spans="1:12" x14ac:dyDescent="0.4">
      <c r="A29" s="184"/>
      <c r="B29" s="204">
        <v>0.1</v>
      </c>
      <c r="C29" s="185">
        <f ca="1">('[6]HWS PIPE SIZER'!L33)*B29</f>
        <v>0.94000000000000006</v>
      </c>
      <c r="E29" s="185">
        <f t="shared" ca="1" si="0"/>
        <v>5.8999999999999997E-2</v>
      </c>
      <c r="F29" s="186">
        <f t="shared" ca="1" si="1"/>
        <v>0.23</v>
      </c>
      <c r="G29" s="187">
        <f>VLOOKUP(H29,'[6]STD PIPE SIZE'!$G$8:$H$21,2,FALSE)</f>
        <v>18</v>
      </c>
      <c r="H29" s="187">
        <v>25</v>
      </c>
      <c r="I29" s="186" t="str">
        <f t="shared" si="3"/>
        <v>Ø 25 mm</v>
      </c>
      <c r="J29" s="188">
        <f>VLOOKUP(H29,'STD PIPE SIZE'!$I$29:$J$42,2,FALSE)</f>
        <v>1</v>
      </c>
      <c r="K29" s="185">
        <f t="shared" ca="1" si="2"/>
        <v>0.755</v>
      </c>
      <c r="L29" s="190"/>
    </row>
    <row r="30" spans="1:12" x14ac:dyDescent="0.4">
      <c r="A30" s="191"/>
      <c r="B30" s="204">
        <v>0.1</v>
      </c>
      <c r="C30" s="185">
        <f ca="1">('[6]HWS PIPE SIZER'!L34)*B30</f>
        <v>0.94000000000000006</v>
      </c>
      <c r="E30" s="182">
        <f t="shared" ca="1" si="0"/>
        <v>5.8999999999999997E-2</v>
      </c>
      <c r="F30" s="192">
        <f t="shared" ca="1" si="1"/>
        <v>0.23</v>
      </c>
      <c r="G30" s="193">
        <f>VLOOKUP(H30,'[6]STD PIPE SIZE'!$G$8:$H$21,2,FALSE)</f>
        <v>18</v>
      </c>
      <c r="H30" s="187">
        <v>25</v>
      </c>
      <c r="I30" s="192" t="str">
        <f t="shared" si="3"/>
        <v>Ø 25 mm</v>
      </c>
      <c r="J30" s="188">
        <f>VLOOKUP(H30,'STD PIPE SIZE'!$I$29:$J$42,2,FALSE)</f>
        <v>1</v>
      </c>
      <c r="K30" s="185">
        <f t="shared" ca="1" si="2"/>
        <v>0.755</v>
      </c>
      <c r="L30" s="190"/>
    </row>
    <row r="31" spans="1:12" x14ac:dyDescent="0.4">
      <c r="A31" s="174"/>
      <c r="B31" s="204">
        <v>0.1</v>
      </c>
      <c r="C31" s="185">
        <f ca="1">('[6]HWS PIPE SIZER'!L35)*B31</f>
        <v>0.94000000000000006</v>
      </c>
      <c r="E31" s="175">
        <f t="shared" ca="1" si="0"/>
        <v>5.8999999999999997E-2</v>
      </c>
      <c r="F31" s="180">
        <f t="shared" ca="1" si="1"/>
        <v>0.23</v>
      </c>
      <c r="G31" s="178">
        <f>VLOOKUP(H31,'[6]STD PIPE SIZE'!$G$8:$H$21,2,FALSE)</f>
        <v>18</v>
      </c>
      <c r="H31" s="187">
        <v>25</v>
      </c>
      <c r="I31" s="180" t="str">
        <f t="shared" si="3"/>
        <v>Ø 25 mm</v>
      </c>
      <c r="J31" s="188">
        <f>VLOOKUP(H31,'STD PIPE SIZE'!$I$29:$J$42,2,FALSE)</f>
        <v>1</v>
      </c>
      <c r="K31" s="185">
        <f t="shared" ca="1" si="2"/>
        <v>0.755</v>
      </c>
      <c r="L31" s="190"/>
    </row>
    <row r="32" spans="1:12" x14ac:dyDescent="0.4">
      <c r="A32" s="184"/>
      <c r="B32" s="204">
        <v>0.1</v>
      </c>
      <c r="C32" s="185">
        <f ca="1">('[6]HWS PIPE SIZER'!L36)*B32</f>
        <v>0.94000000000000006</v>
      </c>
      <c r="E32" s="185">
        <f t="shared" ca="1" si="0"/>
        <v>5.8999999999999997E-2</v>
      </c>
      <c r="F32" s="186">
        <f t="shared" ca="1" si="1"/>
        <v>0.23</v>
      </c>
      <c r="G32" s="187">
        <f>VLOOKUP(H32,'[6]STD PIPE SIZE'!$G$8:$H$21,2,FALSE)</f>
        <v>18</v>
      </c>
      <c r="H32" s="187">
        <v>25</v>
      </c>
      <c r="I32" s="186" t="str">
        <f t="shared" si="3"/>
        <v>Ø 25 mm</v>
      </c>
      <c r="J32" s="188">
        <f>VLOOKUP(H32,'STD PIPE SIZE'!$I$29:$J$42,2,FALSE)</f>
        <v>1</v>
      </c>
      <c r="K32" s="185">
        <f t="shared" ca="1" si="2"/>
        <v>0.755</v>
      </c>
      <c r="L32" s="172"/>
    </row>
    <row r="33" spans="1:12" x14ac:dyDescent="0.4">
      <c r="A33" s="174"/>
      <c r="B33" s="204">
        <v>0.1</v>
      </c>
      <c r="C33" s="185">
        <f ca="1">('[6]HWS PIPE SIZER'!L37)*B33</f>
        <v>0.94000000000000006</v>
      </c>
      <c r="E33" s="175">
        <f t="shared" ca="1" si="0"/>
        <v>5.8999999999999997E-2</v>
      </c>
      <c r="F33" s="180">
        <f t="shared" ca="1" si="1"/>
        <v>0.23</v>
      </c>
      <c r="G33" s="178">
        <f>VLOOKUP(H33,'[6]STD PIPE SIZE'!$G$8:$H$21,2,FALSE)</f>
        <v>18</v>
      </c>
      <c r="H33" s="187">
        <v>25</v>
      </c>
      <c r="I33" s="180" t="str">
        <f t="shared" si="3"/>
        <v>Ø 25 mm</v>
      </c>
      <c r="J33" s="188">
        <f>VLOOKUP(H33,'STD PIPE SIZE'!$I$29:$J$42,2,FALSE)</f>
        <v>1</v>
      </c>
      <c r="K33" s="185">
        <f t="shared" ca="1" si="2"/>
        <v>0.755</v>
      </c>
      <c r="L33" s="172"/>
    </row>
    <row r="34" spans="1:12" x14ac:dyDescent="0.4">
      <c r="A34" s="184"/>
      <c r="B34" s="204">
        <v>0.1</v>
      </c>
      <c r="C34" s="185">
        <f ca="1">('[6]HWS PIPE SIZER'!L38)*B34</f>
        <v>0.94000000000000006</v>
      </c>
      <c r="E34" s="185">
        <f t="shared" ca="1" si="0"/>
        <v>5.8999999999999997E-2</v>
      </c>
      <c r="F34" s="186">
        <f t="shared" ca="1" si="1"/>
        <v>0.23</v>
      </c>
      <c r="G34" s="187">
        <f>VLOOKUP(H34,'[6]STD PIPE SIZE'!$G$8:$H$21,2,FALSE)</f>
        <v>18</v>
      </c>
      <c r="H34" s="187">
        <v>25</v>
      </c>
      <c r="I34" s="186" t="str">
        <f t="shared" si="3"/>
        <v>Ø 25 mm</v>
      </c>
      <c r="J34" s="188">
        <f>VLOOKUP(H34,'STD PIPE SIZE'!$I$29:$J$42,2,FALSE)</f>
        <v>1</v>
      </c>
      <c r="K34" s="185">
        <f t="shared" ca="1" si="2"/>
        <v>0.755</v>
      </c>
      <c r="L34" s="172"/>
    </row>
    <row r="35" spans="1:12" x14ac:dyDescent="0.4">
      <c r="A35" s="174"/>
      <c r="B35" s="204">
        <v>0.1</v>
      </c>
      <c r="C35" s="185">
        <f ca="1">('[6]HWS PIPE SIZER'!L39)*B35</f>
        <v>0</v>
      </c>
      <c r="E35" s="175">
        <f t="shared" ca="1" si="0"/>
        <v>0</v>
      </c>
      <c r="F35" s="180">
        <f t="shared" ca="1" si="1"/>
        <v>0</v>
      </c>
      <c r="G35" s="178">
        <f>VLOOKUP(H35,'[6]STD PIPE SIZE'!$G$8:$H$21,2,FALSE)</f>
        <v>18</v>
      </c>
      <c r="H35" s="187">
        <v>25</v>
      </c>
      <c r="I35" s="180" t="str">
        <f t="shared" si="3"/>
        <v>Ø 25 mm</v>
      </c>
      <c r="J35" s="188">
        <f>VLOOKUP(H35,'STD PIPE SIZE'!$I$29:$J$42,2,FALSE)</f>
        <v>1</v>
      </c>
      <c r="K35" s="185">
        <f t="shared" ca="1" si="2"/>
        <v>0</v>
      </c>
      <c r="L35" s="172"/>
    </row>
    <row r="36" spans="1:12" x14ac:dyDescent="0.4">
      <c r="A36" s="184"/>
      <c r="B36" s="204">
        <v>0.1</v>
      </c>
      <c r="C36" s="185">
        <f ca="1">('[6]HWS PIPE SIZER'!L40)*B36</f>
        <v>0</v>
      </c>
      <c r="E36" s="185">
        <f t="shared" ca="1" si="0"/>
        <v>0</v>
      </c>
      <c r="F36" s="186">
        <f t="shared" ca="1" si="1"/>
        <v>0</v>
      </c>
      <c r="G36" s="187">
        <f>VLOOKUP(H36,'[6]STD PIPE SIZE'!$G$8:$H$21,2,FALSE)</f>
        <v>18</v>
      </c>
      <c r="H36" s="187">
        <v>25</v>
      </c>
      <c r="I36" s="186" t="str">
        <f t="shared" si="3"/>
        <v>Ø 25 mm</v>
      </c>
      <c r="J36" s="188">
        <f>VLOOKUP(H36,'STD PIPE SIZE'!$I$29:$J$42,2,FALSE)</f>
        <v>1</v>
      </c>
      <c r="K36" s="185">
        <f t="shared" ca="1" si="2"/>
        <v>0</v>
      </c>
      <c r="L36" s="172"/>
    </row>
    <row r="37" spans="1:12" x14ac:dyDescent="0.4">
      <c r="A37" s="174"/>
      <c r="B37" s="204">
        <v>0.1</v>
      </c>
      <c r="C37" s="185">
        <f ca="1">('[6]HWS PIPE SIZER'!L41)*B37</f>
        <v>0</v>
      </c>
      <c r="E37" s="175">
        <f t="shared" ca="1" si="0"/>
        <v>0</v>
      </c>
      <c r="F37" s="180">
        <f t="shared" ca="1" si="1"/>
        <v>0</v>
      </c>
      <c r="G37" s="178">
        <f>VLOOKUP(H37,'[6]STD PIPE SIZE'!$G$8:$H$21,2,FALSE)</f>
        <v>18</v>
      </c>
      <c r="H37" s="187">
        <v>25</v>
      </c>
      <c r="I37" s="180" t="str">
        <f t="shared" si="3"/>
        <v>Ø 25 mm</v>
      </c>
      <c r="J37" s="188">
        <f>VLOOKUP(H37,'STD PIPE SIZE'!$I$29:$J$42,2,FALSE)</f>
        <v>1</v>
      </c>
      <c r="K37" s="185">
        <f t="shared" ca="1" si="2"/>
        <v>0</v>
      </c>
      <c r="L37" s="172"/>
    </row>
    <row r="38" spans="1:12" x14ac:dyDescent="0.4">
      <c r="A38" s="184"/>
      <c r="B38" s="204">
        <v>0.1</v>
      </c>
      <c r="C38" s="185">
        <f ca="1">('[6]HWS PIPE SIZER'!L42)*B38</f>
        <v>0</v>
      </c>
      <c r="E38" s="185">
        <f t="shared" ca="1" si="0"/>
        <v>0</v>
      </c>
      <c r="F38" s="186">
        <f t="shared" ca="1" si="1"/>
        <v>0</v>
      </c>
      <c r="G38" s="187">
        <f>VLOOKUP(H38,'[6]STD PIPE SIZE'!$G$8:$H$21,2,FALSE)</f>
        <v>18</v>
      </c>
      <c r="H38" s="187">
        <v>25</v>
      </c>
      <c r="I38" s="186" t="str">
        <f t="shared" si="3"/>
        <v>Ø 25 mm</v>
      </c>
      <c r="J38" s="188">
        <f>VLOOKUP(H38,'STD PIPE SIZE'!$I$29:$J$42,2,FALSE)</f>
        <v>1</v>
      </c>
      <c r="K38" s="185">
        <f t="shared" ca="1" si="2"/>
        <v>0</v>
      </c>
      <c r="L38" s="172"/>
    </row>
    <row r="39" spans="1:12" x14ac:dyDescent="0.4">
      <c r="A39" s="174"/>
      <c r="B39" s="204">
        <v>0.1</v>
      </c>
      <c r="C39" s="185">
        <f ca="1">('[6]HWS PIPE SIZER'!L43)*B39</f>
        <v>0</v>
      </c>
      <c r="E39" s="175">
        <f t="shared" ca="1" si="0"/>
        <v>0</v>
      </c>
      <c r="F39" s="180">
        <f t="shared" ca="1" si="1"/>
        <v>0</v>
      </c>
      <c r="G39" s="178">
        <f>VLOOKUP(H39,'[6]STD PIPE SIZE'!$G$8:$H$21,2,FALSE)</f>
        <v>18</v>
      </c>
      <c r="H39" s="187">
        <v>25</v>
      </c>
      <c r="I39" s="180" t="str">
        <f t="shared" si="3"/>
        <v>Ø 25 mm</v>
      </c>
      <c r="J39" s="188">
        <f>VLOOKUP(H39,'STD PIPE SIZE'!$I$29:$J$42,2,FALSE)</f>
        <v>1</v>
      </c>
      <c r="K39" s="185">
        <f t="shared" ca="1" si="2"/>
        <v>0</v>
      </c>
      <c r="L39" s="172"/>
    </row>
    <row r="40" spans="1:12" x14ac:dyDescent="0.4">
      <c r="A40" s="184"/>
      <c r="B40" s="204">
        <v>0.1</v>
      </c>
      <c r="C40" s="185">
        <f ca="1">('[6]HWS PIPE SIZER'!L44)*B40</f>
        <v>0</v>
      </c>
      <c r="E40" s="185">
        <f t="shared" ca="1" si="0"/>
        <v>0</v>
      </c>
      <c r="F40" s="186">
        <f t="shared" ca="1" si="1"/>
        <v>0</v>
      </c>
      <c r="G40" s="187">
        <f>VLOOKUP(H40,'[6]STD PIPE SIZE'!$G$8:$H$21,2,FALSE)</f>
        <v>18</v>
      </c>
      <c r="H40" s="187">
        <v>25</v>
      </c>
      <c r="I40" s="186" t="str">
        <f t="shared" si="3"/>
        <v>Ø 25 mm</v>
      </c>
      <c r="J40" s="188">
        <f>VLOOKUP(H40,'STD PIPE SIZE'!$I$29:$J$42,2,FALSE)</f>
        <v>1</v>
      </c>
      <c r="K40" s="185">
        <f t="shared" ca="1" si="2"/>
        <v>0</v>
      </c>
      <c r="L40" s="172"/>
    </row>
    <row r="41" spans="1:12" x14ac:dyDescent="0.4">
      <c r="A41" s="174"/>
      <c r="B41" s="204">
        <v>0.1</v>
      </c>
      <c r="C41" s="185">
        <f ca="1">('[6]HWS PIPE SIZER'!L45)*B41</f>
        <v>0</v>
      </c>
      <c r="E41" s="175">
        <f t="shared" ca="1" si="0"/>
        <v>0</v>
      </c>
      <c r="F41" s="180">
        <f t="shared" ca="1" si="1"/>
        <v>0</v>
      </c>
      <c r="G41" s="178">
        <f>VLOOKUP(H41,'[6]STD PIPE SIZE'!$G$8:$H$21,2,FALSE)</f>
        <v>18</v>
      </c>
      <c r="H41" s="187">
        <v>25</v>
      </c>
      <c r="I41" s="180" t="str">
        <f t="shared" si="3"/>
        <v>Ø 25 mm</v>
      </c>
      <c r="J41" s="188">
        <f>VLOOKUP(H41,'STD PIPE SIZE'!$I$29:$J$42,2,FALSE)</f>
        <v>1</v>
      </c>
      <c r="K41" s="185">
        <f t="shared" ca="1" si="2"/>
        <v>0</v>
      </c>
      <c r="L41" s="172"/>
    </row>
    <row r="42" spans="1:12" x14ac:dyDescent="0.4">
      <c r="A42" s="184"/>
      <c r="B42" s="204">
        <v>0.1</v>
      </c>
      <c r="C42" s="185">
        <f ca="1">('[6]HWS PIPE SIZER'!L46)*B42</f>
        <v>0</v>
      </c>
      <c r="E42" s="185">
        <f t="shared" ca="1" si="0"/>
        <v>0</v>
      </c>
      <c r="F42" s="186">
        <f t="shared" ca="1" si="1"/>
        <v>0</v>
      </c>
      <c r="G42" s="187">
        <f>VLOOKUP(H42,'[6]STD PIPE SIZE'!$G$8:$H$21,2,FALSE)</f>
        <v>18</v>
      </c>
      <c r="H42" s="187">
        <v>25</v>
      </c>
      <c r="I42" s="186" t="str">
        <f t="shared" si="3"/>
        <v>Ø 25 mm</v>
      </c>
      <c r="J42" s="188">
        <f>VLOOKUP(H42,'STD PIPE SIZE'!$I$29:$J$42,2,FALSE)</f>
        <v>1</v>
      </c>
      <c r="K42" s="185">
        <f t="shared" ca="1" si="2"/>
        <v>0</v>
      </c>
      <c r="L42" s="172"/>
    </row>
    <row r="43" spans="1:12" ht="15" thickBot="1" x14ac:dyDescent="0.45">
      <c r="A43" s="194"/>
      <c r="B43" s="205">
        <v>0.1</v>
      </c>
      <c r="C43" s="196">
        <f ca="1">('[6]HWS PIPE SIZER'!$L$47)*B43</f>
        <v>0</v>
      </c>
      <c r="E43" s="196">
        <f t="shared" ca="1" si="0"/>
        <v>0</v>
      </c>
      <c r="F43" s="197">
        <f t="shared" ca="1" si="1"/>
        <v>0</v>
      </c>
      <c r="G43" s="198">
        <f>VLOOKUP(H43,'[6]STD PIPE SIZE'!$G$8:$H$21,2,FALSE)</f>
        <v>14.4</v>
      </c>
      <c r="H43" s="198">
        <v>20</v>
      </c>
      <c r="I43" s="197" t="str">
        <f t="shared" si="3"/>
        <v>Ø 20 mm</v>
      </c>
      <c r="J43" s="199">
        <f>VLOOKUP(H43,'STD PIPE SIZE'!$I$29:$J$42,2,FALSE)</f>
        <v>0.75</v>
      </c>
      <c r="K43" s="195">
        <f t="shared" ca="1" si="2"/>
        <v>0</v>
      </c>
      <c r="L43" s="172"/>
    </row>
    <row r="44" spans="1:12" x14ac:dyDescent="0.4">
      <c r="E44" s="172"/>
      <c r="F44" s="172"/>
      <c r="G44" s="172"/>
      <c r="H44" s="172"/>
      <c r="I44" s="172"/>
      <c r="K44" s="172"/>
      <c r="L44" s="172"/>
    </row>
    <row r="45" spans="1:12" ht="15.9" x14ac:dyDescent="0.4">
      <c r="E45" s="200"/>
      <c r="F45" s="200"/>
      <c r="G45" s="200"/>
      <c r="H45" s="200"/>
      <c r="I45" s="172"/>
      <c r="K45" s="200"/>
      <c r="L45" s="172"/>
    </row>
    <row r="46" spans="1:12" x14ac:dyDescent="0.4">
      <c r="E46" s="172"/>
      <c r="F46" s="172"/>
      <c r="G46" s="172"/>
      <c r="H46" s="172"/>
      <c r="I46" s="172"/>
      <c r="K46" s="172"/>
      <c r="L46" s="172"/>
    </row>
    <row r="47" spans="1:12" x14ac:dyDescent="0.4">
      <c r="E47" s="172"/>
      <c r="F47" s="172"/>
      <c r="G47" s="172"/>
      <c r="H47" s="172"/>
      <c r="I47" s="172"/>
      <c r="K47" s="172"/>
      <c r="L47" s="172"/>
    </row>
    <row r="48" spans="1:12" x14ac:dyDescent="0.4">
      <c r="E48" s="172"/>
      <c r="F48" s="172"/>
      <c r="G48" s="172"/>
      <c r="H48" s="172"/>
      <c r="I48" s="172"/>
      <c r="K48" s="172"/>
      <c r="L48" s="172"/>
    </row>
    <row r="49" spans="5:12" x14ac:dyDescent="0.4">
      <c r="E49" s="172"/>
      <c r="F49" s="172"/>
      <c r="G49" s="172"/>
      <c r="H49" s="172"/>
      <c r="I49" s="172"/>
      <c r="K49" s="172"/>
      <c r="L49" s="172"/>
    </row>
    <row r="50" spans="5:12" x14ac:dyDescent="0.4">
      <c r="E50" s="172"/>
      <c r="F50" s="172"/>
      <c r="G50" s="172"/>
      <c r="H50" s="172"/>
      <c r="I50" s="172"/>
      <c r="K50" s="172"/>
      <c r="L50" s="172"/>
    </row>
    <row r="51" spans="5:12" x14ac:dyDescent="0.4">
      <c r="E51" s="172"/>
      <c r="F51" s="172"/>
      <c r="G51" s="172"/>
      <c r="H51" s="172"/>
      <c r="I51" s="172"/>
      <c r="K51" s="172"/>
      <c r="L51" s="172"/>
    </row>
    <row r="52" spans="5:12" x14ac:dyDescent="0.4">
      <c r="E52" s="172"/>
      <c r="F52" s="172"/>
      <c r="G52" s="172"/>
      <c r="H52" s="172"/>
      <c r="I52" s="172"/>
      <c r="K52" s="172"/>
      <c r="L52" s="172"/>
    </row>
    <row r="53" spans="5:12" x14ac:dyDescent="0.4">
      <c r="E53" s="172"/>
      <c r="F53" s="172"/>
      <c r="G53" s="172"/>
      <c r="H53" s="172"/>
      <c r="I53" s="172"/>
      <c r="K53" s="172"/>
      <c r="L53" s="190"/>
    </row>
    <row r="54" spans="5:12" x14ac:dyDescent="0.4">
      <c r="E54" s="172"/>
      <c r="F54" s="172"/>
      <c r="G54" s="172"/>
      <c r="H54" s="172"/>
      <c r="I54" s="172"/>
      <c r="K54" s="172"/>
      <c r="L54" s="190"/>
    </row>
    <row r="55" spans="5:12" x14ac:dyDescent="0.4">
      <c r="E55" s="172"/>
      <c r="F55" s="172"/>
      <c r="G55" s="172"/>
      <c r="H55" s="172"/>
      <c r="I55" s="172"/>
      <c r="K55" s="172"/>
      <c r="L55" s="190"/>
    </row>
    <row r="56" spans="5:12" x14ac:dyDescent="0.4">
      <c r="E56" s="172"/>
      <c r="F56" s="172"/>
      <c r="G56" s="172"/>
      <c r="H56" s="172"/>
      <c r="I56" s="172"/>
      <c r="K56" s="172"/>
      <c r="L56" s="190"/>
    </row>
    <row r="57" spans="5:12" x14ac:dyDescent="0.4">
      <c r="E57" s="172"/>
      <c r="F57" s="172"/>
      <c r="G57" s="172"/>
      <c r="H57" s="172"/>
      <c r="I57" s="172"/>
      <c r="K57" s="172"/>
      <c r="L57" s="190"/>
    </row>
    <row r="58" spans="5:12" x14ac:dyDescent="0.4">
      <c r="E58" s="172"/>
      <c r="F58" s="172"/>
      <c r="G58" s="172"/>
      <c r="H58" s="172"/>
      <c r="I58" s="172"/>
      <c r="K58" s="172"/>
      <c r="L58" s="190"/>
    </row>
    <row r="59" spans="5:12" x14ac:dyDescent="0.4">
      <c r="E59" s="172"/>
      <c r="F59" s="172"/>
      <c r="G59" s="172"/>
      <c r="H59" s="172"/>
      <c r="I59" s="172"/>
      <c r="K59" s="172"/>
    </row>
    <row r="60" spans="5:12" x14ac:dyDescent="0.4">
      <c r="E60" s="171"/>
      <c r="F60" s="171"/>
      <c r="G60" s="171"/>
      <c r="H60" s="171"/>
      <c r="I60" s="171"/>
      <c r="J60" s="171"/>
      <c r="K60" s="171"/>
      <c r="L60" s="171"/>
    </row>
    <row r="61" spans="5:12" x14ac:dyDescent="0.4">
      <c r="E61" s="172"/>
      <c r="F61" s="172"/>
      <c r="G61" s="172"/>
      <c r="H61" s="172"/>
      <c r="I61" s="172"/>
      <c r="K61" s="172"/>
    </row>
    <row r="62" spans="5:12" x14ac:dyDescent="0.4">
      <c r="E62" s="172"/>
      <c r="F62" s="172"/>
      <c r="G62" s="172"/>
      <c r="H62" s="172"/>
      <c r="I62" s="172"/>
      <c r="K62" s="172"/>
    </row>
    <row r="63" spans="5:12" x14ac:dyDescent="0.4">
      <c r="E63" s="172"/>
      <c r="F63" s="172"/>
      <c r="G63" s="172"/>
      <c r="H63" s="172"/>
      <c r="I63" s="172"/>
      <c r="K63" s="172"/>
    </row>
    <row r="64" spans="5:12" x14ac:dyDescent="0.4">
      <c r="E64" s="172"/>
      <c r="F64" s="172"/>
      <c r="G64" s="172"/>
      <c r="H64" s="172"/>
      <c r="I64" s="172"/>
      <c r="K64" s="172"/>
    </row>
    <row r="65" spans="5:11" x14ac:dyDescent="0.4">
      <c r="E65" s="172"/>
      <c r="F65" s="172"/>
      <c r="G65" s="172"/>
      <c r="H65" s="172"/>
      <c r="I65" s="172"/>
      <c r="K65" s="172"/>
    </row>
    <row r="66" spans="5:11" x14ac:dyDescent="0.4">
      <c r="E66" s="172"/>
      <c r="F66" s="172"/>
      <c r="G66" s="172"/>
      <c r="H66" s="172"/>
      <c r="I66" s="172"/>
      <c r="K66" s="172"/>
    </row>
    <row r="67" spans="5:11" x14ac:dyDescent="0.4">
      <c r="E67" s="172"/>
      <c r="F67" s="172"/>
      <c r="G67" s="172"/>
      <c r="H67" s="172"/>
      <c r="I67" s="172"/>
      <c r="K67" s="172"/>
    </row>
    <row r="68" spans="5:11" x14ac:dyDescent="0.4">
      <c r="E68" s="172"/>
      <c r="F68" s="172"/>
      <c r="G68" s="172"/>
      <c r="H68" s="172"/>
      <c r="I68" s="172"/>
      <c r="K68" s="172"/>
    </row>
    <row r="69" spans="5:11" x14ac:dyDescent="0.4">
      <c r="E69" s="172"/>
      <c r="F69" s="172"/>
      <c r="G69" s="172"/>
      <c r="H69" s="172"/>
      <c r="I69" s="172"/>
      <c r="K69" s="172"/>
    </row>
    <row r="70" spans="5:11" x14ac:dyDescent="0.4">
      <c r="E70" s="172"/>
      <c r="F70" s="172"/>
      <c r="G70" s="172"/>
      <c r="H70" s="172"/>
      <c r="I70" s="172"/>
      <c r="K70" s="172"/>
    </row>
    <row r="71" spans="5:11" x14ac:dyDescent="0.4">
      <c r="E71" s="172"/>
      <c r="F71" s="172"/>
      <c r="G71" s="172"/>
      <c r="H71" s="172"/>
      <c r="I71" s="172"/>
      <c r="K71" s="172"/>
    </row>
    <row r="72" spans="5:11" x14ac:dyDescent="0.4">
      <c r="E72" s="172"/>
      <c r="F72" s="172"/>
      <c r="G72" s="172"/>
      <c r="H72" s="172"/>
      <c r="I72" s="172"/>
      <c r="K72" s="172"/>
    </row>
    <row r="73" spans="5:11" x14ac:dyDescent="0.4">
      <c r="E73" s="172"/>
      <c r="F73" s="172"/>
      <c r="G73" s="172"/>
      <c r="H73" s="172"/>
      <c r="I73" s="172"/>
      <c r="K73" s="172"/>
    </row>
    <row r="74" spans="5:11" x14ac:dyDescent="0.4">
      <c r="E74" s="172"/>
      <c r="F74" s="172"/>
      <c r="G74" s="172"/>
      <c r="H74" s="172"/>
      <c r="I74" s="172"/>
      <c r="K74" s="172"/>
    </row>
    <row r="75" spans="5:11" x14ac:dyDescent="0.4">
      <c r="E75" s="172"/>
      <c r="F75" s="172"/>
      <c r="G75" s="172"/>
      <c r="H75" s="172"/>
      <c r="I75" s="172"/>
      <c r="K75" s="172"/>
    </row>
    <row r="76" spans="5:11" x14ac:dyDescent="0.4">
      <c r="E76" s="172"/>
      <c r="F76" s="172"/>
      <c r="G76" s="172"/>
      <c r="H76" s="172"/>
      <c r="I76" s="172"/>
      <c r="K76" s="172"/>
    </row>
    <row r="77" spans="5:11" x14ac:dyDescent="0.4">
      <c r="E77" s="172"/>
      <c r="F77" s="172"/>
      <c r="G77" s="172"/>
      <c r="H77" s="172"/>
      <c r="I77" s="172"/>
      <c r="K77" s="172"/>
    </row>
    <row r="78" spans="5:11" x14ac:dyDescent="0.4">
      <c r="E78" s="172"/>
      <c r="F78" s="172"/>
      <c r="G78" s="172"/>
      <c r="H78" s="172"/>
      <c r="I78" s="172"/>
      <c r="K78" s="172"/>
    </row>
    <row r="79" spans="5:11" x14ac:dyDescent="0.4">
      <c r="E79" s="172"/>
      <c r="F79" s="172"/>
      <c r="G79" s="172"/>
      <c r="H79" s="172"/>
      <c r="I79" s="172"/>
      <c r="K79" s="172"/>
    </row>
    <row r="80" spans="5:11" x14ac:dyDescent="0.4">
      <c r="E80" s="172"/>
      <c r="F80" s="172"/>
      <c r="G80" s="172"/>
      <c r="H80" s="172"/>
      <c r="I80" s="172"/>
      <c r="K80" s="172"/>
    </row>
    <row r="81" spans="5:11" x14ac:dyDescent="0.4">
      <c r="E81" s="172"/>
      <c r="F81" s="172"/>
      <c r="G81" s="172"/>
      <c r="H81" s="172"/>
      <c r="I81" s="172"/>
      <c r="K81" s="172"/>
    </row>
    <row r="82" spans="5:11" x14ac:dyDescent="0.4">
      <c r="E82" s="172"/>
      <c r="F82" s="172"/>
      <c r="G82" s="172"/>
      <c r="H82" s="172"/>
      <c r="I82" s="172"/>
      <c r="K82" s="172"/>
    </row>
    <row r="83" spans="5:11" x14ac:dyDescent="0.4">
      <c r="E83" s="172"/>
      <c r="F83" s="172"/>
      <c r="G83" s="172"/>
      <c r="H83" s="172"/>
      <c r="I83" s="172"/>
      <c r="K83" s="172"/>
    </row>
    <row r="84" spans="5:11" x14ac:dyDescent="0.4">
      <c r="E84" s="172"/>
      <c r="F84" s="172"/>
      <c r="G84" s="172"/>
      <c r="H84" s="172"/>
      <c r="I84" s="172"/>
      <c r="K84" s="172"/>
    </row>
    <row r="85" spans="5:11" x14ac:dyDescent="0.4">
      <c r="E85" s="172"/>
      <c r="F85" s="172"/>
      <c r="G85" s="172"/>
      <c r="H85" s="172"/>
      <c r="I85" s="172"/>
      <c r="K85" s="172"/>
    </row>
    <row r="86" spans="5:11" x14ac:dyDescent="0.4">
      <c r="E86" s="172"/>
      <c r="F86" s="172"/>
      <c r="G86" s="172"/>
      <c r="H86" s="172"/>
      <c r="I86" s="172"/>
      <c r="K86" s="172"/>
    </row>
    <row r="87" spans="5:11" x14ac:dyDescent="0.4">
      <c r="E87" s="172"/>
      <c r="F87" s="172"/>
      <c r="G87" s="172"/>
      <c r="H87" s="172"/>
      <c r="I87" s="172"/>
      <c r="K87" s="172"/>
    </row>
    <row r="88" spans="5:11" x14ac:dyDescent="0.4">
      <c r="E88" s="172"/>
      <c r="F88" s="172"/>
      <c r="G88" s="172"/>
      <c r="H88" s="172"/>
      <c r="I88" s="172"/>
      <c r="K88" s="172"/>
    </row>
    <row r="89" spans="5:11" x14ac:dyDescent="0.4">
      <c r="E89" s="172"/>
      <c r="F89" s="172"/>
      <c r="G89" s="172"/>
      <c r="H89" s="172"/>
      <c r="I89" s="172"/>
      <c r="K89" s="172"/>
    </row>
    <row r="90" spans="5:11" x14ac:dyDescent="0.4">
      <c r="E90" s="172"/>
      <c r="F90" s="172"/>
      <c r="G90" s="172"/>
      <c r="H90" s="172"/>
      <c r="I90" s="172"/>
      <c r="K90" s="172"/>
    </row>
    <row r="91" spans="5:11" x14ac:dyDescent="0.4">
      <c r="E91" s="172"/>
      <c r="F91" s="172"/>
      <c r="G91" s="172"/>
      <c r="H91" s="172"/>
      <c r="I91" s="172"/>
      <c r="K91" s="172"/>
    </row>
    <row r="92" spans="5:11" x14ac:dyDescent="0.4">
      <c r="E92" s="172"/>
      <c r="F92" s="172"/>
      <c r="G92" s="172"/>
      <c r="H92" s="172"/>
      <c r="I92" s="172"/>
      <c r="K92" s="172"/>
    </row>
    <row r="93" spans="5:11" x14ac:dyDescent="0.4">
      <c r="E93" s="172"/>
      <c r="F93" s="172"/>
      <c r="G93" s="172"/>
      <c r="H93" s="172"/>
      <c r="I93" s="172"/>
      <c r="K93" s="172"/>
    </row>
    <row r="94" spans="5:11" x14ac:dyDescent="0.4">
      <c r="E94" s="172"/>
      <c r="F94" s="172"/>
      <c r="G94" s="172"/>
      <c r="H94" s="172"/>
      <c r="I94" s="172"/>
      <c r="K94" s="172"/>
    </row>
    <row r="95" spans="5:11" x14ac:dyDescent="0.4">
      <c r="E95" s="172"/>
      <c r="F95" s="172"/>
      <c r="G95" s="172"/>
      <c r="H95" s="172"/>
      <c r="I95" s="172"/>
      <c r="K95" s="172"/>
    </row>
    <row r="96" spans="5:11" x14ac:dyDescent="0.4">
      <c r="E96" s="172"/>
      <c r="F96" s="172"/>
      <c r="G96" s="172"/>
      <c r="H96" s="172"/>
      <c r="I96" s="172"/>
      <c r="K96" s="172"/>
    </row>
    <row r="97" spans="5:11" x14ac:dyDescent="0.4">
      <c r="E97" s="172"/>
      <c r="F97" s="172"/>
      <c r="G97" s="172"/>
      <c r="H97" s="172"/>
      <c r="I97" s="172"/>
      <c r="K97" s="172"/>
    </row>
    <row r="98" spans="5:11" x14ac:dyDescent="0.4">
      <c r="E98" s="172"/>
      <c r="F98" s="172"/>
      <c r="G98" s="172"/>
      <c r="H98" s="172"/>
      <c r="I98" s="172"/>
      <c r="K98" s="172"/>
    </row>
    <row r="99" spans="5:11" x14ac:dyDescent="0.4">
      <c r="E99" s="172"/>
      <c r="F99" s="172"/>
      <c r="G99" s="172"/>
      <c r="H99" s="172"/>
      <c r="I99" s="172"/>
      <c r="K99" s="172"/>
    </row>
    <row r="100" spans="5:11" x14ac:dyDescent="0.4">
      <c r="E100" s="172"/>
      <c r="F100" s="172"/>
      <c r="G100" s="172"/>
      <c r="H100" s="172"/>
      <c r="I100" s="172"/>
      <c r="K100" s="172"/>
    </row>
    <row r="101" spans="5:11" x14ac:dyDescent="0.4">
      <c r="E101" s="172"/>
      <c r="F101" s="172"/>
      <c r="G101" s="172"/>
      <c r="H101" s="172"/>
      <c r="I101" s="172"/>
      <c r="K101" s="172"/>
    </row>
    <row r="102" spans="5:11" x14ac:dyDescent="0.4">
      <c r="E102" s="172"/>
      <c r="F102" s="172"/>
      <c r="G102" s="172"/>
      <c r="H102" s="172"/>
      <c r="I102" s="172"/>
      <c r="K102" s="172"/>
    </row>
    <row r="103" spans="5:11" x14ac:dyDescent="0.4">
      <c r="E103" s="172"/>
      <c r="F103" s="172"/>
      <c r="G103" s="172"/>
      <c r="H103" s="172"/>
      <c r="I103" s="172"/>
      <c r="K103" s="172"/>
    </row>
    <row r="104" spans="5:11" x14ac:dyDescent="0.4">
      <c r="E104" s="172"/>
      <c r="F104" s="172"/>
      <c r="G104" s="172"/>
      <c r="H104" s="172"/>
      <c r="I104" s="172"/>
      <c r="K104" s="172"/>
    </row>
    <row r="105" spans="5:11" x14ac:dyDescent="0.4">
      <c r="E105" s="172"/>
      <c r="F105" s="172"/>
      <c r="G105" s="172"/>
      <c r="H105" s="172"/>
      <c r="I105" s="172"/>
      <c r="K105" s="172"/>
    </row>
    <row r="106" spans="5:11" x14ac:dyDescent="0.4">
      <c r="E106" s="172"/>
      <c r="F106" s="172"/>
      <c r="G106" s="172"/>
      <c r="H106" s="172"/>
      <c r="I106" s="172"/>
      <c r="K106" s="172"/>
    </row>
    <row r="107" spans="5:11" x14ac:dyDescent="0.4">
      <c r="E107" s="172"/>
      <c r="F107" s="172"/>
      <c r="G107" s="172"/>
      <c r="H107" s="172"/>
      <c r="I107" s="172"/>
      <c r="K107" s="172"/>
    </row>
    <row r="108" spans="5:11" x14ac:dyDescent="0.4">
      <c r="E108" s="172"/>
      <c r="F108" s="172"/>
      <c r="G108" s="172"/>
      <c r="H108" s="172"/>
      <c r="I108" s="172"/>
      <c r="K108" s="172"/>
    </row>
    <row r="109" spans="5:11" x14ac:dyDescent="0.4">
      <c r="E109" s="172"/>
      <c r="F109" s="172"/>
      <c r="G109" s="172"/>
      <c r="H109" s="172"/>
      <c r="I109" s="172"/>
      <c r="K109" s="172"/>
    </row>
    <row r="110" spans="5:11" x14ac:dyDescent="0.4">
      <c r="E110" s="172"/>
      <c r="F110" s="172"/>
      <c r="G110" s="172"/>
      <c r="H110" s="172"/>
      <c r="I110" s="172"/>
      <c r="K110" s="172"/>
    </row>
    <row r="111" spans="5:11" x14ac:dyDescent="0.4">
      <c r="E111" s="172"/>
      <c r="F111" s="172"/>
      <c r="G111" s="172"/>
      <c r="H111" s="172"/>
      <c r="I111" s="172"/>
      <c r="K111" s="172"/>
    </row>
    <row r="112" spans="5:11" x14ac:dyDescent="0.4">
      <c r="E112" s="172"/>
      <c r="F112" s="172"/>
      <c r="G112" s="172"/>
      <c r="H112" s="172"/>
      <c r="I112" s="172"/>
      <c r="K112" s="172"/>
    </row>
    <row r="113" spans="5:11" x14ac:dyDescent="0.4">
      <c r="E113" s="172"/>
      <c r="F113" s="172"/>
      <c r="G113" s="172"/>
      <c r="H113" s="172"/>
      <c r="I113" s="172"/>
      <c r="K113" s="172"/>
    </row>
    <row r="114" spans="5:11" x14ac:dyDescent="0.4">
      <c r="E114" s="172"/>
      <c r="F114" s="172"/>
      <c r="G114" s="172"/>
      <c r="H114" s="172"/>
      <c r="I114" s="172"/>
      <c r="K114" s="172"/>
    </row>
    <row r="115" spans="5:11" x14ac:dyDescent="0.4">
      <c r="E115" s="172"/>
      <c r="F115" s="172"/>
      <c r="G115" s="172"/>
      <c r="H115" s="172"/>
      <c r="I115" s="172"/>
      <c r="K115" s="172"/>
    </row>
    <row r="116" spans="5:11" x14ac:dyDescent="0.4">
      <c r="E116" s="172"/>
      <c r="F116" s="172"/>
      <c r="G116" s="172"/>
      <c r="H116" s="172"/>
      <c r="I116" s="172"/>
      <c r="K116" s="172"/>
    </row>
    <row r="117" spans="5:11" x14ac:dyDescent="0.4">
      <c r="E117" s="172"/>
      <c r="F117" s="172"/>
      <c r="G117" s="172"/>
      <c r="H117" s="172"/>
      <c r="I117" s="172"/>
      <c r="K117" s="172"/>
    </row>
    <row r="118" spans="5:11" x14ac:dyDescent="0.4">
      <c r="E118" s="172"/>
      <c r="F118" s="172"/>
      <c r="G118" s="172"/>
      <c r="H118" s="172"/>
      <c r="I118" s="172"/>
      <c r="K118" s="172"/>
    </row>
    <row r="119" spans="5:11" x14ac:dyDescent="0.4">
      <c r="E119" s="172"/>
      <c r="F119" s="172"/>
      <c r="G119" s="172"/>
      <c r="H119" s="172"/>
      <c r="I119" s="172"/>
      <c r="K119" s="172"/>
    </row>
    <row r="120" spans="5:11" x14ac:dyDescent="0.4">
      <c r="E120" s="172"/>
      <c r="F120" s="172"/>
      <c r="G120" s="172"/>
      <c r="H120" s="172"/>
      <c r="I120" s="172"/>
      <c r="K120" s="172"/>
    </row>
    <row r="121" spans="5:11" x14ac:dyDescent="0.4">
      <c r="E121" s="172"/>
      <c r="F121" s="172"/>
      <c r="G121" s="172"/>
      <c r="H121" s="172"/>
      <c r="I121" s="172"/>
      <c r="K121" s="172"/>
    </row>
    <row r="122" spans="5:11" x14ac:dyDescent="0.4">
      <c r="E122" s="172"/>
      <c r="F122" s="172"/>
      <c r="G122" s="172"/>
      <c r="H122" s="172"/>
      <c r="I122" s="172"/>
      <c r="K122" s="172"/>
    </row>
    <row r="123" spans="5:11" x14ac:dyDescent="0.4">
      <c r="E123" s="172"/>
      <c r="F123" s="172"/>
      <c r="G123" s="172"/>
      <c r="H123" s="172"/>
      <c r="I123" s="172"/>
      <c r="K123" s="172"/>
    </row>
    <row r="124" spans="5:11" x14ac:dyDescent="0.4">
      <c r="E124" s="172"/>
      <c r="F124" s="172"/>
      <c r="G124" s="172"/>
      <c r="H124" s="172"/>
      <c r="I124" s="172"/>
      <c r="K124" s="172"/>
    </row>
    <row r="125" spans="5:11" x14ac:dyDescent="0.4">
      <c r="E125" s="172"/>
      <c r="F125" s="172"/>
      <c r="G125" s="172"/>
      <c r="H125" s="172"/>
      <c r="I125" s="172"/>
      <c r="K125" s="172"/>
    </row>
    <row r="126" spans="5:11" x14ac:dyDescent="0.4">
      <c r="E126" s="172"/>
      <c r="F126" s="172"/>
      <c r="G126" s="172"/>
      <c r="H126" s="172"/>
      <c r="I126" s="172"/>
      <c r="K126" s="172"/>
    </row>
    <row r="127" spans="5:11" x14ac:dyDescent="0.4">
      <c r="E127" s="172"/>
      <c r="F127" s="172"/>
      <c r="G127" s="172"/>
      <c r="H127" s="172"/>
      <c r="I127" s="172"/>
      <c r="K127" s="172"/>
    </row>
    <row r="128" spans="5:11" x14ac:dyDescent="0.4">
      <c r="E128" s="172"/>
      <c r="F128" s="172"/>
      <c r="G128" s="172"/>
      <c r="H128" s="172"/>
      <c r="I128" s="172"/>
      <c r="K128" s="172"/>
    </row>
    <row r="129" spans="5:11" x14ac:dyDescent="0.4">
      <c r="E129" s="172"/>
      <c r="F129" s="172"/>
      <c r="G129" s="172"/>
      <c r="H129" s="172"/>
      <c r="I129" s="172"/>
      <c r="K129" s="172"/>
    </row>
    <row r="130" spans="5:11" x14ac:dyDescent="0.4">
      <c r="E130" s="172"/>
      <c r="F130" s="172"/>
      <c r="G130" s="172"/>
      <c r="H130" s="172"/>
      <c r="I130" s="172"/>
      <c r="K130" s="172"/>
    </row>
    <row r="131" spans="5:11" x14ac:dyDescent="0.4">
      <c r="E131" s="172"/>
      <c r="F131" s="172"/>
      <c r="G131" s="172"/>
      <c r="H131" s="172"/>
      <c r="I131" s="172"/>
      <c r="K131" s="172"/>
    </row>
    <row r="132" spans="5:11" x14ac:dyDescent="0.4">
      <c r="E132" s="172"/>
      <c r="F132" s="172"/>
      <c r="G132" s="172"/>
      <c r="H132" s="172"/>
      <c r="I132" s="172"/>
      <c r="K132" s="172"/>
    </row>
    <row r="133" spans="5:11" x14ac:dyDescent="0.4">
      <c r="E133" s="172"/>
      <c r="F133" s="172"/>
      <c r="G133" s="172"/>
      <c r="H133" s="172"/>
      <c r="I133" s="172"/>
      <c r="K133" s="172"/>
    </row>
    <row r="134" spans="5:11" x14ac:dyDescent="0.4">
      <c r="E134" s="172"/>
      <c r="F134" s="172"/>
      <c r="G134" s="172"/>
      <c r="H134" s="172"/>
      <c r="I134" s="172"/>
      <c r="K134" s="172"/>
    </row>
    <row r="135" spans="5:11" x14ac:dyDescent="0.4">
      <c r="E135" s="172"/>
      <c r="F135" s="172"/>
      <c r="G135" s="172"/>
      <c r="H135" s="172"/>
      <c r="I135" s="172"/>
      <c r="K135" s="172"/>
    </row>
    <row r="136" spans="5:11" x14ac:dyDescent="0.4">
      <c r="E136" s="172"/>
      <c r="F136" s="172"/>
      <c r="G136" s="172"/>
      <c r="H136" s="172"/>
      <c r="I136" s="172"/>
      <c r="K136" s="172"/>
    </row>
    <row r="137" spans="5:11" x14ac:dyDescent="0.4">
      <c r="E137" s="172"/>
      <c r="F137" s="172"/>
      <c r="G137" s="172"/>
      <c r="H137" s="172"/>
      <c r="I137" s="172"/>
      <c r="K137" s="172"/>
    </row>
    <row r="138" spans="5:11" x14ac:dyDescent="0.4">
      <c r="E138" s="172"/>
      <c r="F138" s="172"/>
      <c r="G138" s="172"/>
      <c r="H138" s="172"/>
      <c r="I138" s="172"/>
      <c r="K138" s="172"/>
    </row>
    <row r="139" spans="5:11" x14ac:dyDescent="0.4">
      <c r="E139" s="172"/>
      <c r="F139" s="172"/>
      <c r="G139" s="172"/>
      <c r="H139" s="172"/>
      <c r="I139" s="172"/>
      <c r="K139" s="172"/>
    </row>
    <row r="140" spans="5:11" x14ac:dyDescent="0.4">
      <c r="E140" s="172"/>
      <c r="F140" s="172"/>
      <c r="G140" s="172"/>
      <c r="H140" s="172"/>
      <c r="I140" s="172"/>
      <c r="K140" s="172"/>
    </row>
    <row r="141" spans="5:11" x14ac:dyDescent="0.4">
      <c r="E141" s="172"/>
      <c r="F141" s="172"/>
      <c r="G141" s="172"/>
      <c r="H141" s="172"/>
      <c r="I141" s="172"/>
      <c r="K141" s="172"/>
    </row>
    <row r="142" spans="5:11" x14ac:dyDescent="0.4">
      <c r="E142" s="172"/>
      <c r="F142" s="172"/>
      <c r="G142" s="172"/>
      <c r="H142" s="172"/>
      <c r="I142" s="172"/>
      <c r="K142" s="172"/>
    </row>
    <row r="143" spans="5:11" x14ac:dyDescent="0.4">
      <c r="E143" s="172"/>
      <c r="F143" s="172"/>
      <c r="G143" s="172"/>
      <c r="H143" s="172"/>
      <c r="I143" s="172"/>
      <c r="K143" s="172"/>
    </row>
    <row r="144" spans="5:11" x14ac:dyDescent="0.4">
      <c r="E144" s="172"/>
      <c r="F144" s="172"/>
      <c r="G144" s="172"/>
      <c r="H144" s="172"/>
      <c r="I144" s="172"/>
      <c r="K144" s="172"/>
    </row>
    <row r="145" spans="5:11" x14ac:dyDescent="0.4">
      <c r="E145" s="172"/>
      <c r="F145" s="172"/>
      <c r="G145" s="172"/>
      <c r="H145" s="172"/>
      <c r="I145" s="172"/>
      <c r="K145" s="172"/>
    </row>
    <row r="146" spans="5:11" x14ac:dyDescent="0.4">
      <c r="E146" s="172"/>
      <c r="F146" s="172"/>
      <c r="G146" s="172"/>
      <c r="H146" s="172"/>
      <c r="I146" s="172"/>
      <c r="K146" s="172"/>
    </row>
    <row r="147" spans="5:11" x14ac:dyDescent="0.4">
      <c r="E147" s="172"/>
      <c r="F147" s="172"/>
      <c r="G147" s="172"/>
      <c r="H147" s="172"/>
      <c r="I147" s="172"/>
      <c r="K147" s="172"/>
    </row>
    <row r="148" spans="5:11" x14ac:dyDescent="0.4">
      <c r="E148" s="172"/>
      <c r="F148" s="172"/>
      <c r="G148" s="172"/>
      <c r="H148" s="172"/>
      <c r="I148" s="172"/>
      <c r="K148" s="172"/>
    </row>
    <row r="149" spans="5:11" x14ac:dyDescent="0.4">
      <c r="E149" s="172"/>
      <c r="F149" s="172"/>
      <c r="G149" s="172"/>
      <c r="H149" s="172"/>
      <c r="I149" s="172"/>
      <c r="K149" s="172"/>
    </row>
    <row r="150" spans="5:11" x14ac:dyDescent="0.4">
      <c r="E150" s="172"/>
      <c r="F150" s="172"/>
      <c r="G150" s="172"/>
      <c r="H150" s="172"/>
      <c r="I150" s="172"/>
      <c r="K150" s="172"/>
    </row>
    <row r="151" spans="5:11" x14ac:dyDescent="0.4">
      <c r="E151" s="172"/>
      <c r="F151" s="172"/>
      <c r="G151" s="172"/>
      <c r="H151" s="172"/>
      <c r="I151" s="172"/>
      <c r="K151" s="172"/>
    </row>
    <row r="152" spans="5:11" x14ac:dyDescent="0.4">
      <c r="E152" s="172"/>
      <c r="F152" s="172"/>
      <c r="G152" s="172"/>
      <c r="H152" s="172"/>
      <c r="I152" s="172"/>
      <c r="K152" s="172"/>
    </row>
    <row r="153" spans="5:11" x14ac:dyDescent="0.4">
      <c r="E153" s="172"/>
      <c r="F153" s="172"/>
      <c r="G153" s="172"/>
      <c r="H153" s="172"/>
      <c r="I153" s="172"/>
      <c r="K153" s="172"/>
    </row>
    <row r="154" spans="5:11" x14ac:dyDescent="0.4">
      <c r="E154" s="172"/>
      <c r="F154" s="172"/>
      <c r="G154" s="172"/>
      <c r="H154" s="172"/>
      <c r="I154" s="172"/>
      <c r="K154" s="172"/>
    </row>
    <row r="155" spans="5:11" x14ac:dyDescent="0.4">
      <c r="E155" s="172"/>
      <c r="F155" s="172"/>
      <c r="G155" s="172"/>
      <c r="H155" s="172"/>
      <c r="I155" s="172"/>
      <c r="K155" s="172"/>
    </row>
    <row r="156" spans="5:11" x14ac:dyDescent="0.4">
      <c r="E156" s="172"/>
      <c r="F156" s="172"/>
      <c r="G156" s="172"/>
      <c r="H156" s="172"/>
      <c r="I156" s="172"/>
      <c r="K156" s="172"/>
    </row>
    <row r="157" spans="5:11" x14ac:dyDescent="0.4">
      <c r="E157" s="172"/>
      <c r="F157" s="172"/>
      <c r="G157" s="172"/>
      <c r="H157" s="172"/>
      <c r="I157" s="172"/>
      <c r="K157" s="172"/>
    </row>
    <row r="158" spans="5:11" x14ac:dyDescent="0.4">
      <c r="E158" s="172"/>
      <c r="F158" s="172"/>
      <c r="G158" s="172"/>
      <c r="H158" s="172"/>
      <c r="I158" s="172"/>
      <c r="K158" s="172"/>
    </row>
    <row r="159" spans="5:11" x14ac:dyDescent="0.4">
      <c r="E159" s="172"/>
      <c r="F159" s="172"/>
      <c r="G159" s="172"/>
      <c r="H159" s="172"/>
      <c r="I159" s="172"/>
      <c r="K159" s="172"/>
    </row>
    <row r="160" spans="5:11" x14ac:dyDescent="0.4">
      <c r="E160" s="172"/>
      <c r="F160" s="172"/>
      <c r="G160" s="172"/>
      <c r="H160" s="172"/>
      <c r="I160" s="172"/>
      <c r="K160" s="172"/>
    </row>
    <row r="161" spans="5:11" x14ac:dyDescent="0.4">
      <c r="E161" s="172"/>
      <c r="F161" s="172"/>
      <c r="G161" s="172"/>
      <c r="H161" s="172"/>
      <c r="I161" s="172"/>
      <c r="K161" s="172"/>
    </row>
    <row r="162" spans="5:11" x14ac:dyDescent="0.4">
      <c r="E162" s="172"/>
      <c r="F162" s="172"/>
      <c r="G162" s="172"/>
      <c r="H162" s="172"/>
      <c r="I162" s="172"/>
      <c r="K162" s="172"/>
    </row>
    <row r="163" spans="5:11" x14ac:dyDescent="0.4">
      <c r="E163" s="172"/>
      <c r="F163" s="172"/>
      <c r="G163" s="172"/>
      <c r="H163" s="172"/>
      <c r="I163" s="172"/>
      <c r="K163" s="172"/>
    </row>
    <row r="164" spans="5:11" x14ac:dyDescent="0.4">
      <c r="E164" s="172"/>
      <c r="F164" s="172"/>
      <c r="G164" s="172"/>
      <c r="H164" s="172"/>
      <c r="I164" s="172"/>
      <c r="K164" s="172"/>
    </row>
    <row r="165" spans="5:11" x14ac:dyDescent="0.4">
      <c r="E165" s="172"/>
      <c r="F165" s="172"/>
      <c r="G165" s="172"/>
      <c r="H165" s="172"/>
      <c r="I165" s="172"/>
      <c r="K165" s="172"/>
    </row>
    <row r="166" spans="5:11" x14ac:dyDescent="0.4">
      <c r="E166" s="172"/>
      <c r="F166" s="172"/>
      <c r="G166" s="172"/>
      <c r="H166" s="172"/>
      <c r="I166" s="172"/>
      <c r="K166" s="172"/>
    </row>
    <row r="167" spans="5:11" x14ac:dyDescent="0.4">
      <c r="E167" s="172"/>
      <c r="F167" s="172"/>
      <c r="G167" s="172"/>
      <c r="H167" s="172"/>
      <c r="I167" s="172"/>
      <c r="K167" s="172"/>
    </row>
    <row r="168" spans="5:11" x14ac:dyDescent="0.4">
      <c r="E168" s="172"/>
      <c r="F168" s="172"/>
      <c r="G168" s="172"/>
      <c r="H168" s="172"/>
      <c r="I168" s="172"/>
      <c r="K168" s="172"/>
    </row>
    <row r="169" spans="5:11" x14ac:dyDescent="0.4">
      <c r="E169" s="172"/>
      <c r="F169" s="172"/>
      <c r="G169" s="172"/>
      <c r="H169" s="172"/>
      <c r="I169" s="172"/>
      <c r="K169" s="172"/>
    </row>
    <row r="170" spans="5:11" x14ac:dyDescent="0.4">
      <c r="E170" s="172"/>
      <c r="F170" s="172"/>
      <c r="G170" s="172"/>
      <c r="H170" s="172"/>
      <c r="I170" s="172"/>
      <c r="K170" s="172"/>
    </row>
    <row r="171" spans="5:11" x14ac:dyDescent="0.4">
      <c r="E171" s="172"/>
      <c r="F171" s="172"/>
      <c r="G171" s="172"/>
      <c r="H171" s="172"/>
      <c r="I171" s="172"/>
      <c r="K171" s="172"/>
    </row>
    <row r="172" spans="5:11" x14ac:dyDescent="0.4">
      <c r="E172" s="172"/>
      <c r="F172" s="172"/>
      <c r="G172" s="172"/>
      <c r="H172" s="172"/>
      <c r="I172" s="172"/>
      <c r="K172" s="172"/>
    </row>
    <row r="173" spans="5:11" x14ac:dyDescent="0.4">
      <c r="E173" s="172"/>
      <c r="F173" s="172"/>
      <c r="G173" s="172"/>
      <c r="H173" s="172"/>
      <c r="I173" s="172"/>
      <c r="K173" s="172"/>
    </row>
    <row r="174" spans="5:11" x14ac:dyDescent="0.4">
      <c r="E174" s="172"/>
      <c r="F174" s="172"/>
      <c r="G174" s="172"/>
      <c r="H174" s="172"/>
      <c r="I174" s="172"/>
      <c r="K174" s="172"/>
    </row>
    <row r="175" spans="5:11" x14ac:dyDescent="0.4">
      <c r="E175" s="172"/>
      <c r="F175" s="172"/>
      <c r="G175" s="172"/>
      <c r="H175" s="172"/>
      <c r="I175" s="172"/>
      <c r="K175" s="172"/>
    </row>
    <row r="176" spans="5:11" x14ac:dyDescent="0.4">
      <c r="E176" s="172"/>
      <c r="F176" s="172"/>
      <c r="G176" s="172"/>
      <c r="H176" s="172"/>
      <c r="I176" s="172"/>
      <c r="K176" s="172"/>
    </row>
    <row r="177" spans="5:11" x14ac:dyDescent="0.4">
      <c r="E177" s="172"/>
      <c r="F177" s="172"/>
      <c r="G177" s="172"/>
      <c r="H177" s="172"/>
      <c r="I177" s="172"/>
      <c r="K177" s="172"/>
    </row>
    <row r="178" spans="5:11" x14ac:dyDescent="0.4">
      <c r="E178" s="172"/>
      <c r="F178" s="172"/>
      <c r="G178" s="172"/>
      <c r="H178" s="172"/>
      <c r="I178" s="172"/>
      <c r="K178" s="172"/>
    </row>
    <row r="179" spans="5:11" x14ac:dyDescent="0.4">
      <c r="E179" s="172"/>
      <c r="F179" s="172"/>
      <c r="G179" s="172"/>
      <c r="H179" s="172"/>
      <c r="I179" s="172"/>
      <c r="K179" s="172"/>
    </row>
    <row r="180" spans="5:11" x14ac:dyDescent="0.4">
      <c r="E180" s="172"/>
      <c r="F180" s="172"/>
      <c r="G180" s="172"/>
      <c r="H180" s="172"/>
      <c r="I180" s="172"/>
      <c r="K180" s="172"/>
    </row>
    <row r="181" spans="5:11" x14ac:dyDescent="0.4">
      <c r="E181" s="172"/>
      <c r="F181" s="172"/>
      <c r="G181" s="172"/>
      <c r="H181" s="172"/>
      <c r="I181" s="172"/>
      <c r="K181" s="172"/>
    </row>
    <row r="182" spans="5:11" x14ac:dyDescent="0.4">
      <c r="E182" s="172"/>
      <c r="F182" s="172"/>
      <c r="G182" s="172"/>
      <c r="H182" s="172"/>
      <c r="I182" s="172"/>
      <c r="K182" s="172"/>
    </row>
    <row r="183" spans="5:11" x14ac:dyDescent="0.4">
      <c r="E183" s="172"/>
      <c r="F183" s="172"/>
      <c r="G183" s="172"/>
      <c r="H183" s="172"/>
      <c r="I183" s="172"/>
      <c r="K183" s="172"/>
    </row>
    <row r="184" spans="5:11" x14ac:dyDescent="0.4">
      <c r="E184" s="172"/>
      <c r="F184" s="172"/>
      <c r="G184" s="172"/>
      <c r="H184" s="172"/>
      <c r="I184" s="172"/>
      <c r="K184" s="172"/>
    </row>
    <row r="185" spans="5:11" x14ac:dyDescent="0.4">
      <c r="E185" s="172"/>
      <c r="F185" s="172"/>
      <c r="G185" s="172"/>
      <c r="H185" s="172"/>
      <c r="I185" s="172"/>
      <c r="K185" s="172"/>
    </row>
    <row r="186" spans="5:11" x14ac:dyDescent="0.4">
      <c r="E186" s="172"/>
      <c r="F186" s="172"/>
      <c r="G186" s="172"/>
      <c r="H186" s="172"/>
      <c r="I186" s="172"/>
      <c r="K186" s="172"/>
    </row>
    <row r="187" spans="5:11" x14ac:dyDescent="0.4">
      <c r="E187" s="172"/>
      <c r="F187" s="172"/>
      <c r="G187" s="172"/>
      <c r="H187" s="172"/>
      <c r="I187" s="172"/>
      <c r="K187" s="172"/>
    </row>
    <row r="188" spans="5:11" x14ac:dyDescent="0.4">
      <c r="E188" s="172"/>
      <c r="F188" s="172"/>
      <c r="G188" s="172"/>
      <c r="H188" s="172"/>
      <c r="I188" s="172"/>
      <c r="K188" s="172"/>
    </row>
    <row r="189" spans="5:11" x14ac:dyDescent="0.4">
      <c r="E189" s="172"/>
      <c r="F189" s="172"/>
      <c r="G189" s="172"/>
      <c r="H189" s="172"/>
      <c r="I189" s="172"/>
      <c r="K189" s="172"/>
    </row>
    <row r="190" spans="5:11" x14ac:dyDescent="0.4">
      <c r="E190" s="190"/>
      <c r="F190" s="190"/>
      <c r="G190" s="190"/>
      <c r="H190" s="190"/>
      <c r="I190" s="190"/>
      <c r="K190" s="190"/>
    </row>
    <row r="191" spans="5:11" x14ac:dyDescent="0.4">
      <c r="E191" s="190"/>
      <c r="F191" s="190"/>
      <c r="G191" s="190"/>
      <c r="H191" s="190"/>
      <c r="I191" s="190"/>
      <c r="K191" s="190"/>
    </row>
  </sheetData>
  <dataConsolidate/>
  <mergeCells count="15">
    <mergeCell ref="A2:K2"/>
    <mergeCell ref="B3:I3"/>
    <mergeCell ref="B4:I4"/>
    <mergeCell ref="K9:K11"/>
    <mergeCell ref="A9:A11"/>
    <mergeCell ref="B9:B11"/>
    <mergeCell ref="C9:C11"/>
    <mergeCell ref="E9:E11"/>
    <mergeCell ref="F9:F11"/>
    <mergeCell ref="G9:G11"/>
    <mergeCell ref="H9:H11"/>
    <mergeCell ref="I9:I11"/>
    <mergeCell ref="J9:J11"/>
    <mergeCell ref="E6:K6"/>
    <mergeCell ref="A6:C6"/>
  </mergeCells>
  <conditionalFormatting sqref="F13:F43">
    <cfRule type="expression" dxfId="2" priority="5">
      <formula>AND(#REF!="Please modify the diameter",#REF!="Please modify the diameter")</formula>
    </cfRule>
    <cfRule type="expression" dxfId="1" priority="6">
      <formula>AND(#REF!="OK",#REF!="Please modify the diameter")</formula>
    </cfRule>
    <cfRule type="expression" dxfId="0" priority="7">
      <formula>AND(#REF!="Please modify the diameter",#REF!="OK")</formula>
    </cfRule>
    <cfRule type="expression" priority="8">
      <formula>AND(#REF!="OK",#REF!="OK")</formula>
    </cfRule>
  </conditionalFormatting>
  <dataValidations count="2">
    <dataValidation allowBlank="1" showInputMessage="1" showErrorMessage="1" prompt="Standard pipe size" sqref="I13" xr:uid="{00000000-0002-0000-0300-000000000000}"/>
    <dataValidation allowBlank="1" showInputMessage="1" showErrorMessage="1" prompt="Inner diameter for calc." sqref="G13" xr:uid="{00000000-0002-0000-0300-000001000000}"/>
  </dataValidations>
  <pageMargins left="0.7" right="0.7" top="0.75" bottom="0.75" header="0.3" footer="0.3"/>
  <pageSetup paperSize="9" scale="72" orientation="landscape" r:id="rId1"/>
  <colBreaks count="1" manualBreakCount="1">
    <brk id="11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'STD PIPE SIZE'!$G$8:$G$21</xm:f>
          </x14:formula1>
          <xm:sqref>H14:H43</xm:sqref>
        </x14:dataValidation>
        <x14:dataValidation type="list" allowBlank="1" showInputMessage="1" showErrorMessage="1" prompt="Select suitable pipe size" xr:uid="{00000000-0002-0000-0300-000003000000}">
          <x14:formula1>
            <xm:f>'STD PIPE SIZE'!$G$8:$G$21</xm:f>
          </x14:formula1>
          <xm:sqref>H13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</sheetPr>
  <dimension ref="B1:Z73"/>
  <sheetViews>
    <sheetView workbookViewId="0">
      <selection activeCell="H48" sqref="H48"/>
    </sheetView>
  </sheetViews>
  <sheetFormatPr defaultRowHeight="12.45" x14ac:dyDescent="0.3"/>
  <cols>
    <col min="1" max="2" width="8.84375" style="28"/>
    <col min="3" max="3" width="11.84375" style="28" customWidth="1"/>
    <col min="4" max="4" width="11.3828125" style="28" customWidth="1"/>
    <col min="5" max="5" width="9.69140625" style="28" customWidth="1"/>
    <col min="6" max="6" width="13.3046875" style="28" customWidth="1"/>
    <col min="7" max="9" width="8.84375" style="28"/>
    <col min="10" max="10" width="11.84375" style="28" customWidth="1"/>
    <col min="11" max="11" width="11" style="28" customWidth="1"/>
    <col min="12" max="12" width="10.15234375" style="28" customWidth="1"/>
    <col min="13" max="13" width="14.3046875" style="28" customWidth="1"/>
    <col min="14" max="14" width="9.69140625" style="28" customWidth="1"/>
    <col min="15" max="15" width="17.69140625" style="28" bestFit="1" customWidth="1"/>
    <col min="16" max="18" width="8.84375" style="28"/>
    <col min="19" max="19" width="8.3828125" style="28" customWidth="1"/>
    <col min="20" max="21" width="8.84375" style="28"/>
    <col min="22" max="22" width="14.3046875" style="28" bestFit="1" customWidth="1"/>
    <col min="23" max="259" width="8.84375" style="28"/>
    <col min="260" max="260" width="11.84375" style="28" customWidth="1"/>
    <col min="261" max="261" width="11.3828125" style="28" customWidth="1"/>
    <col min="262" max="262" width="9.69140625" style="28" customWidth="1"/>
    <col min="263" max="263" width="13.3046875" style="28" customWidth="1"/>
    <col min="264" max="266" width="8.84375" style="28"/>
    <col min="267" max="267" width="11.84375" style="28" customWidth="1"/>
    <col min="268" max="268" width="11" style="28" customWidth="1"/>
    <col min="269" max="269" width="10.15234375" style="28" customWidth="1"/>
    <col min="270" max="270" width="14.3046875" style="28" customWidth="1"/>
    <col min="271" max="271" width="9.69140625" style="28" customWidth="1"/>
    <col min="272" max="515" width="8.84375" style="28"/>
    <col min="516" max="516" width="11.84375" style="28" customWidth="1"/>
    <col min="517" max="517" width="11.3828125" style="28" customWidth="1"/>
    <col min="518" max="518" width="9.69140625" style="28" customWidth="1"/>
    <col min="519" max="519" width="13.3046875" style="28" customWidth="1"/>
    <col min="520" max="522" width="8.84375" style="28"/>
    <col min="523" max="523" width="11.84375" style="28" customWidth="1"/>
    <col min="524" max="524" width="11" style="28" customWidth="1"/>
    <col min="525" max="525" width="10.15234375" style="28" customWidth="1"/>
    <col min="526" max="526" width="14.3046875" style="28" customWidth="1"/>
    <col min="527" max="527" width="9.69140625" style="28" customWidth="1"/>
    <col min="528" max="771" width="8.84375" style="28"/>
    <col min="772" max="772" width="11.84375" style="28" customWidth="1"/>
    <col min="773" max="773" width="11.3828125" style="28" customWidth="1"/>
    <col min="774" max="774" width="9.69140625" style="28" customWidth="1"/>
    <col min="775" max="775" width="13.3046875" style="28" customWidth="1"/>
    <col min="776" max="778" width="8.84375" style="28"/>
    <col min="779" max="779" width="11.84375" style="28" customWidth="1"/>
    <col min="780" max="780" width="11" style="28" customWidth="1"/>
    <col min="781" max="781" width="10.15234375" style="28" customWidth="1"/>
    <col min="782" max="782" width="14.3046875" style="28" customWidth="1"/>
    <col min="783" max="783" width="9.69140625" style="28" customWidth="1"/>
    <col min="784" max="1027" width="8.84375" style="28"/>
    <col min="1028" max="1028" width="11.84375" style="28" customWidth="1"/>
    <col min="1029" max="1029" width="11.3828125" style="28" customWidth="1"/>
    <col min="1030" max="1030" width="9.69140625" style="28" customWidth="1"/>
    <col min="1031" max="1031" width="13.3046875" style="28" customWidth="1"/>
    <col min="1032" max="1034" width="8.84375" style="28"/>
    <col min="1035" max="1035" width="11.84375" style="28" customWidth="1"/>
    <col min="1036" max="1036" width="11" style="28" customWidth="1"/>
    <col min="1037" max="1037" width="10.15234375" style="28" customWidth="1"/>
    <col min="1038" max="1038" width="14.3046875" style="28" customWidth="1"/>
    <col min="1039" max="1039" width="9.69140625" style="28" customWidth="1"/>
    <col min="1040" max="1283" width="8.84375" style="28"/>
    <col min="1284" max="1284" width="11.84375" style="28" customWidth="1"/>
    <col min="1285" max="1285" width="11.3828125" style="28" customWidth="1"/>
    <col min="1286" max="1286" width="9.69140625" style="28" customWidth="1"/>
    <col min="1287" max="1287" width="13.3046875" style="28" customWidth="1"/>
    <col min="1288" max="1290" width="8.84375" style="28"/>
    <col min="1291" max="1291" width="11.84375" style="28" customWidth="1"/>
    <col min="1292" max="1292" width="11" style="28" customWidth="1"/>
    <col min="1293" max="1293" width="10.15234375" style="28" customWidth="1"/>
    <col min="1294" max="1294" width="14.3046875" style="28" customWidth="1"/>
    <col min="1295" max="1295" width="9.69140625" style="28" customWidth="1"/>
    <col min="1296" max="1539" width="8.84375" style="28"/>
    <col min="1540" max="1540" width="11.84375" style="28" customWidth="1"/>
    <col min="1541" max="1541" width="11.3828125" style="28" customWidth="1"/>
    <col min="1542" max="1542" width="9.69140625" style="28" customWidth="1"/>
    <col min="1543" max="1543" width="13.3046875" style="28" customWidth="1"/>
    <col min="1544" max="1546" width="8.84375" style="28"/>
    <col min="1547" max="1547" width="11.84375" style="28" customWidth="1"/>
    <col min="1548" max="1548" width="11" style="28" customWidth="1"/>
    <col min="1549" max="1549" width="10.15234375" style="28" customWidth="1"/>
    <col min="1550" max="1550" width="14.3046875" style="28" customWidth="1"/>
    <col min="1551" max="1551" width="9.69140625" style="28" customWidth="1"/>
    <col min="1552" max="1795" width="8.84375" style="28"/>
    <col min="1796" max="1796" width="11.84375" style="28" customWidth="1"/>
    <col min="1797" max="1797" width="11.3828125" style="28" customWidth="1"/>
    <col min="1798" max="1798" width="9.69140625" style="28" customWidth="1"/>
    <col min="1799" max="1799" width="13.3046875" style="28" customWidth="1"/>
    <col min="1800" max="1802" width="8.84375" style="28"/>
    <col min="1803" max="1803" width="11.84375" style="28" customWidth="1"/>
    <col min="1804" max="1804" width="11" style="28" customWidth="1"/>
    <col min="1805" max="1805" width="10.15234375" style="28" customWidth="1"/>
    <col min="1806" max="1806" width="14.3046875" style="28" customWidth="1"/>
    <col min="1807" max="1807" width="9.69140625" style="28" customWidth="1"/>
    <col min="1808" max="2051" width="8.84375" style="28"/>
    <col min="2052" max="2052" width="11.84375" style="28" customWidth="1"/>
    <col min="2053" max="2053" width="11.3828125" style="28" customWidth="1"/>
    <col min="2054" max="2054" width="9.69140625" style="28" customWidth="1"/>
    <col min="2055" max="2055" width="13.3046875" style="28" customWidth="1"/>
    <col min="2056" max="2058" width="8.84375" style="28"/>
    <col min="2059" max="2059" width="11.84375" style="28" customWidth="1"/>
    <col min="2060" max="2060" width="11" style="28" customWidth="1"/>
    <col min="2061" max="2061" width="10.15234375" style="28" customWidth="1"/>
    <col min="2062" max="2062" width="14.3046875" style="28" customWidth="1"/>
    <col min="2063" max="2063" width="9.69140625" style="28" customWidth="1"/>
    <col min="2064" max="2307" width="8.84375" style="28"/>
    <col min="2308" max="2308" width="11.84375" style="28" customWidth="1"/>
    <col min="2309" max="2309" width="11.3828125" style="28" customWidth="1"/>
    <col min="2310" max="2310" width="9.69140625" style="28" customWidth="1"/>
    <col min="2311" max="2311" width="13.3046875" style="28" customWidth="1"/>
    <col min="2312" max="2314" width="8.84375" style="28"/>
    <col min="2315" max="2315" width="11.84375" style="28" customWidth="1"/>
    <col min="2316" max="2316" width="11" style="28" customWidth="1"/>
    <col min="2317" max="2317" width="10.15234375" style="28" customWidth="1"/>
    <col min="2318" max="2318" width="14.3046875" style="28" customWidth="1"/>
    <col min="2319" max="2319" width="9.69140625" style="28" customWidth="1"/>
    <col min="2320" max="2563" width="8.84375" style="28"/>
    <col min="2564" max="2564" width="11.84375" style="28" customWidth="1"/>
    <col min="2565" max="2565" width="11.3828125" style="28" customWidth="1"/>
    <col min="2566" max="2566" width="9.69140625" style="28" customWidth="1"/>
    <col min="2567" max="2567" width="13.3046875" style="28" customWidth="1"/>
    <col min="2568" max="2570" width="8.84375" style="28"/>
    <col min="2571" max="2571" width="11.84375" style="28" customWidth="1"/>
    <col min="2572" max="2572" width="11" style="28" customWidth="1"/>
    <col min="2573" max="2573" width="10.15234375" style="28" customWidth="1"/>
    <col min="2574" max="2574" width="14.3046875" style="28" customWidth="1"/>
    <col min="2575" max="2575" width="9.69140625" style="28" customWidth="1"/>
    <col min="2576" max="2819" width="8.84375" style="28"/>
    <col min="2820" max="2820" width="11.84375" style="28" customWidth="1"/>
    <col min="2821" max="2821" width="11.3828125" style="28" customWidth="1"/>
    <col min="2822" max="2822" width="9.69140625" style="28" customWidth="1"/>
    <col min="2823" max="2823" width="13.3046875" style="28" customWidth="1"/>
    <col min="2824" max="2826" width="8.84375" style="28"/>
    <col min="2827" max="2827" width="11.84375" style="28" customWidth="1"/>
    <col min="2828" max="2828" width="11" style="28" customWidth="1"/>
    <col min="2829" max="2829" width="10.15234375" style="28" customWidth="1"/>
    <col min="2830" max="2830" width="14.3046875" style="28" customWidth="1"/>
    <col min="2831" max="2831" width="9.69140625" style="28" customWidth="1"/>
    <col min="2832" max="3075" width="8.84375" style="28"/>
    <col min="3076" max="3076" width="11.84375" style="28" customWidth="1"/>
    <col min="3077" max="3077" width="11.3828125" style="28" customWidth="1"/>
    <col min="3078" max="3078" width="9.69140625" style="28" customWidth="1"/>
    <col min="3079" max="3079" width="13.3046875" style="28" customWidth="1"/>
    <col min="3080" max="3082" width="8.84375" style="28"/>
    <col min="3083" max="3083" width="11.84375" style="28" customWidth="1"/>
    <col min="3084" max="3084" width="11" style="28" customWidth="1"/>
    <col min="3085" max="3085" width="10.15234375" style="28" customWidth="1"/>
    <col min="3086" max="3086" width="14.3046875" style="28" customWidth="1"/>
    <col min="3087" max="3087" width="9.69140625" style="28" customWidth="1"/>
    <col min="3088" max="3331" width="8.84375" style="28"/>
    <col min="3332" max="3332" width="11.84375" style="28" customWidth="1"/>
    <col min="3333" max="3333" width="11.3828125" style="28" customWidth="1"/>
    <col min="3334" max="3334" width="9.69140625" style="28" customWidth="1"/>
    <col min="3335" max="3335" width="13.3046875" style="28" customWidth="1"/>
    <col min="3336" max="3338" width="8.84375" style="28"/>
    <col min="3339" max="3339" width="11.84375" style="28" customWidth="1"/>
    <col min="3340" max="3340" width="11" style="28" customWidth="1"/>
    <col min="3341" max="3341" width="10.15234375" style="28" customWidth="1"/>
    <col min="3342" max="3342" width="14.3046875" style="28" customWidth="1"/>
    <col min="3343" max="3343" width="9.69140625" style="28" customWidth="1"/>
    <col min="3344" max="3587" width="8.84375" style="28"/>
    <col min="3588" max="3588" width="11.84375" style="28" customWidth="1"/>
    <col min="3589" max="3589" width="11.3828125" style="28" customWidth="1"/>
    <col min="3590" max="3590" width="9.69140625" style="28" customWidth="1"/>
    <col min="3591" max="3591" width="13.3046875" style="28" customWidth="1"/>
    <col min="3592" max="3594" width="8.84375" style="28"/>
    <col min="3595" max="3595" width="11.84375" style="28" customWidth="1"/>
    <col min="3596" max="3596" width="11" style="28" customWidth="1"/>
    <col min="3597" max="3597" width="10.15234375" style="28" customWidth="1"/>
    <col min="3598" max="3598" width="14.3046875" style="28" customWidth="1"/>
    <col min="3599" max="3599" width="9.69140625" style="28" customWidth="1"/>
    <col min="3600" max="3843" width="8.84375" style="28"/>
    <col min="3844" max="3844" width="11.84375" style="28" customWidth="1"/>
    <col min="3845" max="3845" width="11.3828125" style="28" customWidth="1"/>
    <col min="3846" max="3846" width="9.69140625" style="28" customWidth="1"/>
    <col min="3847" max="3847" width="13.3046875" style="28" customWidth="1"/>
    <col min="3848" max="3850" width="8.84375" style="28"/>
    <col min="3851" max="3851" width="11.84375" style="28" customWidth="1"/>
    <col min="3852" max="3852" width="11" style="28" customWidth="1"/>
    <col min="3853" max="3853" width="10.15234375" style="28" customWidth="1"/>
    <col min="3854" max="3854" width="14.3046875" style="28" customWidth="1"/>
    <col min="3855" max="3855" width="9.69140625" style="28" customWidth="1"/>
    <col min="3856" max="4099" width="8.84375" style="28"/>
    <col min="4100" max="4100" width="11.84375" style="28" customWidth="1"/>
    <col min="4101" max="4101" width="11.3828125" style="28" customWidth="1"/>
    <col min="4102" max="4102" width="9.69140625" style="28" customWidth="1"/>
    <col min="4103" max="4103" width="13.3046875" style="28" customWidth="1"/>
    <col min="4104" max="4106" width="8.84375" style="28"/>
    <col min="4107" max="4107" width="11.84375" style="28" customWidth="1"/>
    <col min="4108" max="4108" width="11" style="28" customWidth="1"/>
    <col min="4109" max="4109" width="10.15234375" style="28" customWidth="1"/>
    <col min="4110" max="4110" width="14.3046875" style="28" customWidth="1"/>
    <col min="4111" max="4111" width="9.69140625" style="28" customWidth="1"/>
    <col min="4112" max="4355" width="8.84375" style="28"/>
    <col min="4356" max="4356" width="11.84375" style="28" customWidth="1"/>
    <col min="4357" max="4357" width="11.3828125" style="28" customWidth="1"/>
    <col min="4358" max="4358" width="9.69140625" style="28" customWidth="1"/>
    <col min="4359" max="4359" width="13.3046875" style="28" customWidth="1"/>
    <col min="4360" max="4362" width="8.84375" style="28"/>
    <col min="4363" max="4363" width="11.84375" style="28" customWidth="1"/>
    <col min="4364" max="4364" width="11" style="28" customWidth="1"/>
    <col min="4365" max="4365" width="10.15234375" style="28" customWidth="1"/>
    <col min="4366" max="4366" width="14.3046875" style="28" customWidth="1"/>
    <col min="4367" max="4367" width="9.69140625" style="28" customWidth="1"/>
    <col min="4368" max="4611" width="8.84375" style="28"/>
    <col min="4612" max="4612" width="11.84375" style="28" customWidth="1"/>
    <col min="4613" max="4613" width="11.3828125" style="28" customWidth="1"/>
    <col min="4614" max="4614" width="9.69140625" style="28" customWidth="1"/>
    <col min="4615" max="4615" width="13.3046875" style="28" customWidth="1"/>
    <col min="4616" max="4618" width="8.84375" style="28"/>
    <col min="4619" max="4619" width="11.84375" style="28" customWidth="1"/>
    <col min="4620" max="4620" width="11" style="28" customWidth="1"/>
    <col min="4621" max="4621" width="10.15234375" style="28" customWidth="1"/>
    <col min="4622" max="4622" width="14.3046875" style="28" customWidth="1"/>
    <col min="4623" max="4623" width="9.69140625" style="28" customWidth="1"/>
    <col min="4624" max="4867" width="8.84375" style="28"/>
    <col min="4868" max="4868" width="11.84375" style="28" customWidth="1"/>
    <col min="4869" max="4869" width="11.3828125" style="28" customWidth="1"/>
    <col min="4870" max="4870" width="9.69140625" style="28" customWidth="1"/>
    <col min="4871" max="4871" width="13.3046875" style="28" customWidth="1"/>
    <col min="4872" max="4874" width="8.84375" style="28"/>
    <col min="4875" max="4875" width="11.84375" style="28" customWidth="1"/>
    <col min="4876" max="4876" width="11" style="28" customWidth="1"/>
    <col min="4877" max="4877" width="10.15234375" style="28" customWidth="1"/>
    <col min="4878" max="4878" width="14.3046875" style="28" customWidth="1"/>
    <col min="4879" max="4879" width="9.69140625" style="28" customWidth="1"/>
    <col min="4880" max="5123" width="8.84375" style="28"/>
    <col min="5124" max="5124" width="11.84375" style="28" customWidth="1"/>
    <col min="5125" max="5125" width="11.3828125" style="28" customWidth="1"/>
    <col min="5126" max="5126" width="9.69140625" style="28" customWidth="1"/>
    <col min="5127" max="5127" width="13.3046875" style="28" customWidth="1"/>
    <col min="5128" max="5130" width="8.84375" style="28"/>
    <col min="5131" max="5131" width="11.84375" style="28" customWidth="1"/>
    <col min="5132" max="5132" width="11" style="28" customWidth="1"/>
    <col min="5133" max="5133" width="10.15234375" style="28" customWidth="1"/>
    <col min="5134" max="5134" width="14.3046875" style="28" customWidth="1"/>
    <col min="5135" max="5135" width="9.69140625" style="28" customWidth="1"/>
    <col min="5136" max="5379" width="8.84375" style="28"/>
    <col min="5380" max="5380" width="11.84375" style="28" customWidth="1"/>
    <col min="5381" max="5381" width="11.3828125" style="28" customWidth="1"/>
    <col min="5382" max="5382" width="9.69140625" style="28" customWidth="1"/>
    <col min="5383" max="5383" width="13.3046875" style="28" customWidth="1"/>
    <col min="5384" max="5386" width="8.84375" style="28"/>
    <col min="5387" max="5387" width="11.84375" style="28" customWidth="1"/>
    <col min="5388" max="5388" width="11" style="28" customWidth="1"/>
    <col min="5389" max="5389" width="10.15234375" style="28" customWidth="1"/>
    <col min="5390" max="5390" width="14.3046875" style="28" customWidth="1"/>
    <col min="5391" max="5391" width="9.69140625" style="28" customWidth="1"/>
    <col min="5392" max="5635" width="8.84375" style="28"/>
    <col min="5636" max="5636" width="11.84375" style="28" customWidth="1"/>
    <col min="5637" max="5637" width="11.3828125" style="28" customWidth="1"/>
    <col min="5638" max="5638" width="9.69140625" style="28" customWidth="1"/>
    <col min="5639" max="5639" width="13.3046875" style="28" customWidth="1"/>
    <col min="5640" max="5642" width="8.84375" style="28"/>
    <col min="5643" max="5643" width="11.84375" style="28" customWidth="1"/>
    <col min="5644" max="5644" width="11" style="28" customWidth="1"/>
    <col min="5645" max="5645" width="10.15234375" style="28" customWidth="1"/>
    <col min="5646" max="5646" width="14.3046875" style="28" customWidth="1"/>
    <col min="5647" max="5647" width="9.69140625" style="28" customWidth="1"/>
    <col min="5648" max="5891" width="8.84375" style="28"/>
    <col min="5892" max="5892" width="11.84375" style="28" customWidth="1"/>
    <col min="5893" max="5893" width="11.3828125" style="28" customWidth="1"/>
    <col min="5894" max="5894" width="9.69140625" style="28" customWidth="1"/>
    <col min="5895" max="5895" width="13.3046875" style="28" customWidth="1"/>
    <col min="5896" max="5898" width="8.84375" style="28"/>
    <col min="5899" max="5899" width="11.84375" style="28" customWidth="1"/>
    <col min="5900" max="5900" width="11" style="28" customWidth="1"/>
    <col min="5901" max="5901" width="10.15234375" style="28" customWidth="1"/>
    <col min="5902" max="5902" width="14.3046875" style="28" customWidth="1"/>
    <col min="5903" max="5903" width="9.69140625" style="28" customWidth="1"/>
    <col min="5904" max="6147" width="8.84375" style="28"/>
    <col min="6148" max="6148" width="11.84375" style="28" customWidth="1"/>
    <col min="6149" max="6149" width="11.3828125" style="28" customWidth="1"/>
    <col min="6150" max="6150" width="9.69140625" style="28" customWidth="1"/>
    <col min="6151" max="6151" width="13.3046875" style="28" customWidth="1"/>
    <col min="6152" max="6154" width="8.84375" style="28"/>
    <col min="6155" max="6155" width="11.84375" style="28" customWidth="1"/>
    <col min="6156" max="6156" width="11" style="28" customWidth="1"/>
    <col min="6157" max="6157" width="10.15234375" style="28" customWidth="1"/>
    <col min="6158" max="6158" width="14.3046875" style="28" customWidth="1"/>
    <col min="6159" max="6159" width="9.69140625" style="28" customWidth="1"/>
    <col min="6160" max="6403" width="8.84375" style="28"/>
    <col min="6404" max="6404" width="11.84375" style="28" customWidth="1"/>
    <col min="6405" max="6405" width="11.3828125" style="28" customWidth="1"/>
    <col min="6406" max="6406" width="9.69140625" style="28" customWidth="1"/>
    <col min="6407" max="6407" width="13.3046875" style="28" customWidth="1"/>
    <col min="6408" max="6410" width="8.84375" style="28"/>
    <col min="6411" max="6411" width="11.84375" style="28" customWidth="1"/>
    <col min="6412" max="6412" width="11" style="28" customWidth="1"/>
    <col min="6413" max="6413" width="10.15234375" style="28" customWidth="1"/>
    <col min="6414" max="6414" width="14.3046875" style="28" customWidth="1"/>
    <col min="6415" max="6415" width="9.69140625" style="28" customWidth="1"/>
    <col min="6416" max="6659" width="8.84375" style="28"/>
    <col min="6660" max="6660" width="11.84375" style="28" customWidth="1"/>
    <col min="6661" max="6661" width="11.3828125" style="28" customWidth="1"/>
    <col min="6662" max="6662" width="9.69140625" style="28" customWidth="1"/>
    <col min="6663" max="6663" width="13.3046875" style="28" customWidth="1"/>
    <col min="6664" max="6666" width="8.84375" style="28"/>
    <col min="6667" max="6667" width="11.84375" style="28" customWidth="1"/>
    <col min="6668" max="6668" width="11" style="28" customWidth="1"/>
    <col min="6669" max="6669" width="10.15234375" style="28" customWidth="1"/>
    <col min="6670" max="6670" width="14.3046875" style="28" customWidth="1"/>
    <col min="6671" max="6671" width="9.69140625" style="28" customWidth="1"/>
    <col min="6672" max="6915" width="8.84375" style="28"/>
    <col min="6916" max="6916" width="11.84375" style="28" customWidth="1"/>
    <col min="6917" max="6917" width="11.3828125" style="28" customWidth="1"/>
    <col min="6918" max="6918" width="9.69140625" style="28" customWidth="1"/>
    <col min="6919" max="6919" width="13.3046875" style="28" customWidth="1"/>
    <col min="6920" max="6922" width="8.84375" style="28"/>
    <col min="6923" max="6923" width="11.84375" style="28" customWidth="1"/>
    <col min="6924" max="6924" width="11" style="28" customWidth="1"/>
    <col min="6925" max="6925" width="10.15234375" style="28" customWidth="1"/>
    <col min="6926" max="6926" width="14.3046875" style="28" customWidth="1"/>
    <col min="6927" max="6927" width="9.69140625" style="28" customWidth="1"/>
    <col min="6928" max="7171" width="8.84375" style="28"/>
    <col min="7172" max="7172" width="11.84375" style="28" customWidth="1"/>
    <col min="7173" max="7173" width="11.3828125" style="28" customWidth="1"/>
    <col min="7174" max="7174" width="9.69140625" style="28" customWidth="1"/>
    <col min="7175" max="7175" width="13.3046875" style="28" customWidth="1"/>
    <col min="7176" max="7178" width="8.84375" style="28"/>
    <col min="7179" max="7179" width="11.84375" style="28" customWidth="1"/>
    <col min="7180" max="7180" width="11" style="28" customWidth="1"/>
    <col min="7181" max="7181" width="10.15234375" style="28" customWidth="1"/>
    <col min="7182" max="7182" width="14.3046875" style="28" customWidth="1"/>
    <col min="7183" max="7183" width="9.69140625" style="28" customWidth="1"/>
    <col min="7184" max="7427" width="8.84375" style="28"/>
    <col min="7428" max="7428" width="11.84375" style="28" customWidth="1"/>
    <col min="7429" max="7429" width="11.3828125" style="28" customWidth="1"/>
    <col min="7430" max="7430" width="9.69140625" style="28" customWidth="1"/>
    <col min="7431" max="7431" width="13.3046875" style="28" customWidth="1"/>
    <col min="7432" max="7434" width="8.84375" style="28"/>
    <col min="7435" max="7435" width="11.84375" style="28" customWidth="1"/>
    <col min="7436" max="7436" width="11" style="28" customWidth="1"/>
    <col min="7437" max="7437" width="10.15234375" style="28" customWidth="1"/>
    <col min="7438" max="7438" width="14.3046875" style="28" customWidth="1"/>
    <col min="7439" max="7439" width="9.69140625" style="28" customWidth="1"/>
    <col min="7440" max="7683" width="8.84375" style="28"/>
    <col min="7684" max="7684" width="11.84375" style="28" customWidth="1"/>
    <col min="7685" max="7685" width="11.3828125" style="28" customWidth="1"/>
    <col min="7686" max="7686" width="9.69140625" style="28" customWidth="1"/>
    <col min="7687" max="7687" width="13.3046875" style="28" customWidth="1"/>
    <col min="7688" max="7690" width="8.84375" style="28"/>
    <col min="7691" max="7691" width="11.84375" style="28" customWidth="1"/>
    <col min="7692" max="7692" width="11" style="28" customWidth="1"/>
    <col min="7693" max="7693" width="10.15234375" style="28" customWidth="1"/>
    <col min="7694" max="7694" width="14.3046875" style="28" customWidth="1"/>
    <col min="7695" max="7695" width="9.69140625" style="28" customWidth="1"/>
    <col min="7696" max="7939" width="8.84375" style="28"/>
    <col min="7940" max="7940" width="11.84375" style="28" customWidth="1"/>
    <col min="7941" max="7941" width="11.3828125" style="28" customWidth="1"/>
    <col min="7942" max="7942" width="9.69140625" style="28" customWidth="1"/>
    <col min="7943" max="7943" width="13.3046875" style="28" customWidth="1"/>
    <col min="7944" max="7946" width="8.84375" style="28"/>
    <col min="7947" max="7947" width="11.84375" style="28" customWidth="1"/>
    <col min="7948" max="7948" width="11" style="28" customWidth="1"/>
    <col min="7949" max="7949" width="10.15234375" style="28" customWidth="1"/>
    <col min="7950" max="7950" width="14.3046875" style="28" customWidth="1"/>
    <col min="7951" max="7951" width="9.69140625" style="28" customWidth="1"/>
    <col min="7952" max="8195" width="8.84375" style="28"/>
    <col min="8196" max="8196" width="11.84375" style="28" customWidth="1"/>
    <col min="8197" max="8197" width="11.3828125" style="28" customWidth="1"/>
    <col min="8198" max="8198" width="9.69140625" style="28" customWidth="1"/>
    <col min="8199" max="8199" width="13.3046875" style="28" customWidth="1"/>
    <col min="8200" max="8202" width="8.84375" style="28"/>
    <col min="8203" max="8203" width="11.84375" style="28" customWidth="1"/>
    <col min="8204" max="8204" width="11" style="28" customWidth="1"/>
    <col min="8205" max="8205" width="10.15234375" style="28" customWidth="1"/>
    <col min="8206" max="8206" width="14.3046875" style="28" customWidth="1"/>
    <col min="8207" max="8207" width="9.69140625" style="28" customWidth="1"/>
    <col min="8208" max="8451" width="8.84375" style="28"/>
    <col min="8452" max="8452" width="11.84375" style="28" customWidth="1"/>
    <col min="8453" max="8453" width="11.3828125" style="28" customWidth="1"/>
    <col min="8454" max="8454" width="9.69140625" style="28" customWidth="1"/>
    <col min="8455" max="8455" width="13.3046875" style="28" customWidth="1"/>
    <col min="8456" max="8458" width="8.84375" style="28"/>
    <col min="8459" max="8459" width="11.84375" style="28" customWidth="1"/>
    <col min="8460" max="8460" width="11" style="28" customWidth="1"/>
    <col min="8461" max="8461" width="10.15234375" style="28" customWidth="1"/>
    <col min="8462" max="8462" width="14.3046875" style="28" customWidth="1"/>
    <col min="8463" max="8463" width="9.69140625" style="28" customWidth="1"/>
    <col min="8464" max="8707" width="8.84375" style="28"/>
    <col min="8708" max="8708" width="11.84375" style="28" customWidth="1"/>
    <col min="8709" max="8709" width="11.3828125" style="28" customWidth="1"/>
    <col min="8710" max="8710" width="9.69140625" style="28" customWidth="1"/>
    <col min="8711" max="8711" width="13.3046875" style="28" customWidth="1"/>
    <col min="8712" max="8714" width="8.84375" style="28"/>
    <col min="8715" max="8715" width="11.84375" style="28" customWidth="1"/>
    <col min="8716" max="8716" width="11" style="28" customWidth="1"/>
    <col min="8717" max="8717" width="10.15234375" style="28" customWidth="1"/>
    <col min="8718" max="8718" width="14.3046875" style="28" customWidth="1"/>
    <col min="8719" max="8719" width="9.69140625" style="28" customWidth="1"/>
    <col min="8720" max="8963" width="8.84375" style="28"/>
    <col min="8964" max="8964" width="11.84375" style="28" customWidth="1"/>
    <col min="8965" max="8965" width="11.3828125" style="28" customWidth="1"/>
    <col min="8966" max="8966" width="9.69140625" style="28" customWidth="1"/>
    <col min="8967" max="8967" width="13.3046875" style="28" customWidth="1"/>
    <col min="8968" max="8970" width="8.84375" style="28"/>
    <col min="8971" max="8971" width="11.84375" style="28" customWidth="1"/>
    <col min="8972" max="8972" width="11" style="28" customWidth="1"/>
    <col min="8973" max="8973" width="10.15234375" style="28" customWidth="1"/>
    <col min="8974" max="8974" width="14.3046875" style="28" customWidth="1"/>
    <col min="8975" max="8975" width="9.69140625" style="28" customWidth="1"/>
    <col min="8976" max="9219" width="8.84375" style="28"/>
    <col min="9220" max="9220" width="11.84375" style="28" customWidth="1"/>
    <col min="9221" max="9221" width="11.3828125" style="28" customWidth="1"/>
    <col min="9222" max="9222" width="9.69140625" style="28" customWidth="1"/>
    <col min="9223" max="9223" width="13.3046875" style="28" customWidth="1"/>
    <col min="9224" max="9226" width="8.84375" style="28"/>
    <col min="9227" max="9227" width="11.84375" style="28" customWidth="1"/>
    <col min="9228" max="9228" width="11" style="28" customWidth="1"/>
    <col min="9229" max="9229" width="10.15234375" style="28" customWidth="1"/>
    <col min="9230" max="9230" width="14.3046875" style="28" customWidth="1"/>
    <col min="9231" max="9231" width="9.69140625" style="28" customWidth="1"/>
    <col min="9232" max="9475" width="8.84375" style="28"/>
    <col min="9476" max="9476" width="11.84375" style="28" customWidth="1"/>
    <col min="9477" max="9477" width="11.3828125" style="28" customWidth="1"/>
    <col min="9478" max="9478" width="9.69140625" style="28" customWidth="1"/>
    <col min="9479" max="9479" width="13.3046875" style="28" customWidth="1"/>
    <col min="9480" max="9482" width="8.84375" style="28"/>
    <col min="9483" max="9483" width="11.84375" style="28" customWidth="1"/>
    <col min="9484" max="9484" width="11" style="28" customWidth="1"/>
    <col min="9485" max="9485" width="10.15234375" style="28" customWidth="1"/>
    <col min="9486" max="9486" width="14.3046875" style="28" customWidth="1"/>
    <col min="9487" max="9487" width="9.69140625" style="28" customWidth="1"/>
    <col min="9488" max="9731" width="8.84375" style="28"/>
    <col min="9732" max="9732" width="11.84375" style="28" customWidth="1"/>
    <col min="9733" max="9733" width="11.3828125" style="28" customWidth="1"/>
    <col min="9734" max="9734" width="9.69140625" style="28" customWidth="1"/>
    <col min="9735" max="9735" width="13.3046875" style="28" customWidth="1"/>
    <col min="9736" max="9738" width="8.84375" style="28"/>
    <col min="9739" max="9739" width="11.84375" style="28" customWidth="1"/>
    <col min="9740" max="9740" width="11" style="28" customWidth="1"/>
    <col min="9741" max="9741" width="10.15234375" style="28" customWidth="1"/>
    <col min="9742" max="9742" width="14.3046875" style="28" customWidth="1"/>
    <col min="9743" max="9743" width="9.69140625" style="28" customWidth="1"/>
    <col min="9744" max="9987" width="8.84375" style="28"/>
    <col min="9988" max="9988" width="11.84375" style="28" customWidth="1"/>
    <col min="9989" max="9989" width="11.3828125" style="28" customWidth="1"/>
    <col min="9990" max="9990" width="9.69140625" style="28" customWidth="1"/>
    <col min="9991" max="9991" width="13.3046875" style="28" customWidth="1"/>
    <col min="9992" max="9994" width="8.84375" style="28"/>
    <col min="9995" max="9995" width="11.84375" style="28" customWidth="1"/>
    <col min="9996" max="9996" width="11" style="28" customWidth="1"/>
    <col min="9997" max="9997" width="10.15234375" style="28" customWidth="1"/>
    <col min="9998" max="9998" width="14.3046875" style="28" customWidth="1"/>
    <col min="9999" max="9999" width="9.69140625" style="28" customWidth="1"/>
    <col min="10000" max="10243" width="8.84375" style="28"/>
    <col min="10244" max="10244" width="11.84375" style="28" customWidth="1"/>
    <col min="10245" max="10245" width="11.3828125" style="28" customWidth="1"/>
    <col min="10246" max="10246" width="9.69140625" style="28" customWidth="1"/>
    <col min="10247" max="10247" width="13.3046875" style="28" customWidth="1"/>
    <col min="10248" max="10250" width="8.84375" style="28"/>
    <col min="10251" max="10251" width="11.84375" style="28" customWidth="1"/>
    <col min="10252" max="10252" width="11" style="28" customWidth="1"/>
    <col min="10253" max="10253" width="10.15234375" style="28" customWidth="1"/>
    <col min="10254" max="10254" width="14.3046875" style="28" customWidth="1"/>
    <col min="10255" max="10255" width="9.69140625" style="28" customWidth="1"/>
    <col min="10256" max="10499" width="8.84375" style="28"/>
    <col min="10500" max="10500" width="11.84375" style="28" customWidth="1"/>
    <col min="10501" max="10501" width="11.3828125" style="28" customWidth="1"/>
    <col min="10502" max="10502" width="9.69140625" style="28" customWidth="1"/>
    <col min="10503" max="10503" width="13.3046875" style="28" customWidth="1"/>
    <col min="10504" max="10506" width="8.84375" style="28"/>
    <col min="10507" max="10507" width="11.84375" style="28" customWidth="1"/>
    <col min="10508" max="10508" width="11" style="28" customWidth="1"/>
    <col min="10509" max="10509" width="10.15234375" style="28" customWidth="1"/>
    <col min="10510" max="10510" width="14.3046875" style="28" customWidth="1"/>
    <col min="10511" max="10511" width="9.69140625" style="28" customWidth="1"/>
    <col min="10512" max="10755" width="8.84375" style="28"/>
    <col min="10756" max="10756" width="11.84375" style="28" customWidth="1"/>
    <col min="10757" max="10757" width="11.3828125" style="28" customWidth="1"/>
    <col min="10758" max="10758" width="9.69140625" style="28" customWidth="1"/>
    <col min="10759" max="10759" width="13.3046875" style="28" customWidth="1"/>
    <col min="10760" max="10762" width="8.84375" style="28"/>
    <col min="10763" max="10763" width="11.84375" style="28" customWidth="1"/>
    <col min="10764" max="10764" width="11" style="28" customWidth="1"/>
    <col min="10765" max="10765" width="10.15234375" style="28" customWidth="1"/>
    <col min="10766" max="10766" width="14.3046875" style="28" customWidth="1"/>
    <col min="10767" max="10767" width="9.69140625" style="28" customWidth="1"/>
    <col min="10768" max="11011" width="8.84375" style="28"/>
    <col min="11012" max="11012" width="11.84375" style="28" customWidth="1"/>
    <col min="11013" max="11013" width="11.3828125" style="28" customWidth="1"/>
    <col min="11014" max="11014" width="9.69140625" style="28" customWidth="1"/>
    <col min="11015" max="11015" width="13.3046875" style="28" customWidth="1"/>
    <col min="11016" max="11018" width="8.84375" style="28"/>
    <col min="11019" max="11019" width="11.84375" style="28" customWidth="1"/>
    <col min="11020" max="11020" width="11" style="28" customWidth="1"/>
    <col min="11021" max="11021" width="10.15234375" style="28" customWidth="1"/>
    <col min="11022" max="11022" width="14.3046875" style="28" customWidth="1"/>
    <col min="11023" max="11023" width="9.69140625" style="28" customWidth="1"/>
    <col min="11024" max="11267" width="8.84375" style="28"/>
    <col min="11268" max="11268" width="11.84375" style="28" customWidth="1"/>
    <col min="11269" max="11269" width="11.3828125" style="28" customWidth="1"/>
    <col min="11270" max="11270" width="9.69140625" style="28" customWidth="1"/>
    <col min="11271" max="11271" width="13.3046875" style="28" customWidth="1"/>
    <col min="11272" max="11274" width="8.84375" style="28"/>
    <col min="11275" max="11275" width="11.84375" style="28" customWidth="1"/>
    <col min="11276" max="11276" width="11" style="28" customWidth="1"/>
    <col min="11277" max="11277" width="10.15234375" style="28" customWidth="1"/>
    <col min="11278" max="11278" width="14.3046875" style="28" customWidth="1"/>
    <col min="11279" max="11279" width="9.69140625" style="28" customWidth="1"/>
    <col min="11280" max="11523" width="8.84375" style="28"/>
    <col min="11524" max="11524" width="11.84375" style="28" customWidth="1"/>
    <col min="11525" max="11525" width="11.3828125" style="28" customWidth="1"/>
    <col min="11526" max="11526" width="9.69140625" style="28" customWidth="1"/>
    <col min="11527" max="11527" width="13.3046875" style="28" customWidth="1"/>
    <col min="11528" max="11530" width="8.84375" style="28"/>
    <col min="11531" max="11531" width="11.84375" style="28" customWidth="1"/>
    <col min="11532" max="11532" width="11" style="28" customWidth="1"/>
    <col min="11533" max="11533" width="10.15234375" style="28" customWidth="1"/>
    <col min="11534" max="11534" width="14.3046875" style="28" customWidth="1"/>
    <col min="11535" max="11535" width="9.69140625" style="28" customWidth="1"/>
    <col min="11536" max="11779" width="8.84375" style="28"/>
    <col min="11780" max="11780" width="11.84375" style="28" customWidth="1"/>
    <col min="11781" max="11781" width="11.3828125" style="28" customWidth="1"/>
    <col min="11782" max="11782" width="9.69140625" style="28" customWidth="1"/>
    <col min="11783" max="11783" width="13.3046875" style="28" customWidth="1"/>
    <col min="11784" max="11786" width="8.84375" style="28"/>
    <col min="11787" max="11787" width="11.84375" style="28" customWidth="1"/>
    <col min="11788" max="11788" width="11" style="28" customWidth="1"/>
    <col min="11789" max="11789" width="10.15234375" style="28" customWidth="1"/>
    <col min="11790" max="11790" width="14.3046875" style="28" customWidth="1"/>
    <col min="11791" max="11791" width="9.69140625" style="28" customWidth="1"/>
    <col min="11792" max="12035" width="8.84375" style="28"/>
    <col min="12036" max="12036" width="11.84375" style="28" customWidth="1"/>
    <col min="12037" max="12037" width="11.3828125" style="28" customWidth="1"/>
    <col min="12038" max="12038" width="9.69140625" style="28" customWidth="1"/>
    <col min="12039" max="12039" width="13.3046875" style="28" customWidth="1"/>
    <col min="12040" max="12042" width="8.84375" style="28"/>
    <col min="12043" max="12043" width="11.84375" style="28" customWidth="1"/>
    <col min="12044" max="12044" width="11" style="28" customWidth="1"/>
    <col min="12045" max="12045" width="10.15234375" style="28" customWidth="1"/>
    <col min="12046" max="12046" width="14.3046875" style="28" customWidth="1"/>
    <col min="12047" max="12047" width="9.69140625" style="28" customWidth="1"/>
    <col min="12048" max="12291" width="8.84375" style="28"/>
    <col min="12292" max="12292" width="11.84375" style="28" customWidth="1"/>
    <col min="12293" max="12293" width="11.3828125" style="28" customWidth="1"/>
    <col min="12294" max="12294" width="9.69140625" style="28" customWidth="1"/>
    <col min="12295" max="12295" width="13.3046875" style="28" customWidth="1"/>
    <col min="12296" max="12298" width="8.84375" style="28"/>
    <col min="12299" max="12299" width="11.84375" style="28" customWidth="1"/>
    <col min="12300" max="12300" width="11" style="28" customWidth="1"/>
    <col min="12301" max="12301" width="10.15234375" style="28" customWidth="1"/>
    <col min="12302" max="12302" width="14.3046875" style="28" customWidth="1"/>
    <col min="12303" max="12303" width="9.69140625" style="28" customWidth="1"/>
    <col min="12304" max="12547" width="8.84375" style="28"/>
    <col min="12548" max="12548" width="11.84375" style="28" customWidth="1"/>
    <col min="12549" max="12549" width="11.3828125" style="28" customWidth="1"/>
    <col min="12550" max="12550" width="9.69140625" style="28" customWidth="1"/>
    <col min="12551" max="12551" width="13.3046875" style="28" customWidth="1"/>
    <col min="12552" max="12554" width="8.84375" style="28"/>
    <col min="12555" max="12555" width="11.84375" style="28" customWidth="1"/>
    <col min="12556" max="12556" width="11" style="28" customWidth="1"/>
    <col min="12557" max="12557" width="10.15234375" style="28" customWidth="1"/>
    <col min="12558" max="12558" width="14.3046875" style="28" customWidth="1"/>
    <col min="12559" max="12559" width="9.69140625" style="28" customWidth="1"/>
    <col min="12560" max="12803" width="8.84375" style="28"/>
    <col min="12804" max="12804" width="11.84375" style="28" customWidth="1"/>
    <col min="12805" max="12805" width="11.3828125" style="28" customWidth="1"/>
    <col min="12806" max="12806" width="9.69140625" style="28" customWidth="1"/>
    <col min="12807" max="12807" width="13.3046875" style="28" customWidth="1"/>
    <col min="12808" max="12810" width="8.84375" style="28"/>
    <col min="12811" max="12811" width="11.84375" style="28" customWidth="1"/>
    <col min="12812" max="12812" width="11" style="28" customWidth="1"/>
    <col min="12813" max="12813" width="10.15234375" style="28" customWidth="1"/>
    <col min="12814" max="12814" width="14.3046875" style="28" customWidth="1"/>
    <col min="12815" max="12815" width="9.69140625" style="28" customWidth="1"/>
    <col min="12816" max="13059" width="8.84375" style="28"/>
    <col min="13060" max="13060" width="11.84375" style="28" customWidth="1"/>
    <col min="13061" max="13061" width="11.3828125" style="28" customWidth="1"/>
    <col min="13062" max="13062" width="9.69140625" style="28" customWidth="1"/>
    <col min="13063" max="13063" width="13.3046875" style="28" customWidth="1"/>
    <col min="13064" max="13066" width="8.84375" style="28"/>
    <col min="13067" max="13067" width="11.84375" style="28" customWidth="1"/>
    <col min="13068" max="13068" width="11" style="28" customWidth="1"/>
    <col min="13069" max="13069" width="10.15234375" style="28" customWidth="1"/>
    <col min="13070" max="13070" width="14.3046875" style="28" customWidth="1"/>
    <col min="13071" max="13071" width="9.69140625" style="28" customWidth="1"/>
    <col min="13072" max="13315" width="8.84375" style="28"/>
    <col min="13316" max="13316" width="11.84375" style="28" customWidth="1"/>
    <col min="13317" max="13317" width="11.3828125" style="28" customWidth="1"/>
    <col min="13318" max="13318" width="9.69140625" style="28" customWidth="1"/>
    <col min="13319" max="13319" width="13.3046875" style="28" customWidth="1"/>
    <col min="13320" max="13322" width="8.84375" style="28"/>
    <col min="13323" max="13323" width="11.84375" style="28" customWidth="1"/>
    <col min="13324" max="13324" width="11" style="28" customWidth="1"/>
    <col min="13325" max="13325" width="10.15234375" style="28" customWidth="1"/>
    <col min="13326" max="13326" width="14.3046875" style="28" customWidth="1"/>
    <col min="13327" max="13327" width="9.69140625" style="28" customWidth="1"/>
    <col min="13328" max="13571" width="8.84375" style="28"/>
    <col min="13572" max="13572" width="11.84375" style="28" customWidth="1"/>
    <col min="13573" max="13573" width="11.3828125" style="28" customWidth="1"/>
    <col min="13574" max="13574" width="9.69140625" style="28" customWidth="1"/>
    <col min="13575" max="13575" width="13.3046875" style="28" customWidth="1"/>
    <col min="13576" max="13578" width="8.84375" style="28"/>
    <col min="13579" max="13579" width="11.84375" style="28" customWidth="1"/>
    <col min="13580" max="13580" width="11" style="28" customWidth="1"/>
    <col min="13581" max="13581" width="10.15234375" style="28" customWidth="1"/>
    <col min="13582" max="13582" width="14.3046875" style="28" customWidth="1"/>
    <col min="13583" max="13583" width="9.69140625" style="28" customWidth="1"/>
    <col min="13584" max="13827" width="8.84375" style="28"/>
    <col min="13828" max="13828" width="11.84375" style="28" customWidth="1"/>
    <col min="13829" max="13829" width="11.3828125" style="28" customWidth="1"/>
    <col min="13830" max="13830" width="9.69140625" style="28" customWidth="1"/>
    <col min="13831" max="13831" width="13.3046875" style="28" customWidth="1"/>
    <col min="13832" max="13834" width="8.84375" style="28"/>
    <col min="13835" max="13835" width="11.84375" style="28" customWidth="1"/>
    <col min="13836" max="13836" width="11" style="28" customWidth="1"/>
    <col min="13837" max="13837" width="10.15234375" style="28" customWidth="1"/>
    <col min="13838" max="13838" width="14.3046875" style="28" customWidth="1"/>
    <col min="13839" max="13839" width="9.69140625" style="28" customWidth="1"/>
    <col min="13840" max="14083" width="8.84375" style="28"/>
    <col min="14084" max="14084" width="11.84375" style="28" customWidth="1"/>
    <col min="14085" max="14085" width="11.3828125" style="28" customWidth="1"/>
    <col min="14086" max="14086" width="9.69140625" style="28" customWidth="1"/>
    <col min="14087" max="14087" width="13.3046875" style="28" customWidth="1"/>
    <col min="14088" max="14090" width="8.84375" style="28"/>
    <col min="14091" max="14091" width="11.84375" style="28" customWidth="1"/>
    <col min="14092" max="14092" width="11" style="28" customWidth="1"/>
    <col min="14093" max="14093" width="10.15234375" style="28" customWidth="1"/>
    <col min="14094" max="14094" width="14.3046875" style="28" customWidth="1"/>
    <col min="14095" max="14095" width="9.69140625" style="28" customWidth="1"/>
    <col min="14096" max="14339" width="8.84375" style="28"/>
    <col min="14340" max="14340" width="11.84375" style="28" customWidth="1"/>
    <col min="14341" max="14341" width="11.3828125" style="28" customWidth="1"/>
    <col min="14342" max="14342" width="9.69140625" style="28" customWidth="1"/>
    <col min="14343" max="14343" width="13.3046875" style="28" customWidth="1"/>
    <col min="14344" max="14346" width="8.84375" style="28"/>
    <col min="14347" max="14347" width="11.84375" style="28" customWidth="1"/>
    <col min="14348" max="14348" width="11" style="28" customWidth="1"/>
    <col min="14349" max="14349" width="10.15234375" style="28" customWidth="1"/>
    <col min="14350" max="14350" width="14.3046875" style="28" customWidth="1"/>
    <col min="14351" max="14351" width="9.69140625" style="28" customWidth="1"/>
    <col min="14352" max="14595" width="8.84375" style="28"/>
    <col min="14596" max="14596" width="11.84375" style="28" customWidth="1"/>
    <col min="14597" max="14597" width="11.3828125" style="28" customWidth="1"/>
    <col min="14598" max="14598" width="9.69140625" style="28" customWidth="1"/>
    <col min="14599" max="14599" width="13.3046875" style="28" customWidth="1"/>
    <col min="14600" max="14602" width="8.84375" style="28"/>
    <col min="14603" max="14603" width="11.84375" style="28" customWidth="1"/>
    <col min="14604" max="14604" width="11" style="28" customWidth="1"/>
    <col min="14605" max="14605" width="10.15234375" style="28" customWidth="1"/>
    <col min="14606" max="14606" width="14.3046875" style="28" customWidth="1"/>
    <col min="14607" max="14607" width="9.69140625" style="28" customWidth="1"/>
    <col min="14608" max="14851" width="8.84375" style="28"/>
    <col min="14852" max="14852" width="11.84375" style="28" customWidth="1"/>
    <col min="14853" max="14853" width="11.3828125" style="28" customWidth="1"/>
    <col min="14854" max="14854" width="9.69140625" style="28" customWidth="1"/>
    <col min="14855" max="14855" width="13.3046875" style="28" customWidth="1"/>
    <col min="14856" max="14858" width="8.84375" style="28"/>
    <col min="14859" max="14859" width="11.84375" style="28" customWidth="1"/>
    <col min="14860" max="14860" width="11" style="28" customWidth="1"/>
    <col min="14861" max="14861" width="10.15234375" style="28" customWidth="1"/>
    <col min="14862" max="14862" width="14.3046875" style="28" customWidth="1"/>
    <col min="14863" max="14863" width="9.69140625" style="28" customWidth="1"/>
    <col min="14864" max="15107" width="8.84375" style="28"/>
    <col min="15108" max="15108" width="11.84375" style="28" customWidth="1"/>
    <col min="15109" max="15109" width="11.3828125" style="28" customWidth="1"/>
    <col min="15110" max="15110" width="9.69140625" style="28" customWidth="1"/>
    <col min="15111" max="15111" width="13.3046875" style="28" customWidth="1"/>
    <col min="15112" max="15114" width="8.84375" style="28"/>
    <col min="15115" max="15115" width="11.84375" style="28" customWidth="1"/>
    <col min="15116" max="15116" width="11" style="28" customWidth="1"/>
    <col min="15117" max="15117" width="10.15234375" style="28" customWidth="1"/>
    <col min="15118" max="15118" width="14.3046875" style="28" customWidth="1"/>
    <col min="15119" max="15119" width="9.69140625" style="28" customWidth="1"/>
    <col min="15120" max="15363" width="8.84375" style="28"/>
    <col min="15364" max="15364" width="11.84375" style="28" customWidth="1"/>
    <col min="15365" max="15365" width="11.3828125" style="28" customWidth="1"/>
    <col min="15366" max="15366" width="9.69140625" style="28" customWidth="1"/>
    <col min="15367" max="15367" width="13.3046875" style="28" customWidth="1"/>
    <col min="15368" max="15370" width="8.84375" style="28"/>
    <col min="15371" max="15371" width="11.84375" style="28" customWidth="1"/>
    <col min="15372" max="15372" width="11" style="28" customWidth="1"/>
    <col min="15373" max="15373" width="10.15234375" style="28" customWidth="1"/>
    <col min="15374" max="15374" width="14.3046875" style="28" customWidth="1"/>
    <col min="15375" max="15375" width="9.69140625" style="28" customWidth="1"/>
    <col min="15376" max="15619" width="8.84375" style="28"/>
    <col min="15620" max="15620" width="11.84375" style="28" customWidth="1"/>
    <col min="15621" max="15621" width="11.3828125" style="28" customWidth="1"/>
    <col min="15622" max="15622" width="9.69140625" style="28" customWidth="1"/>
    <col min="15623" max="15623" width="13.3046875" style="28" customWidth="1"/>
    <col min="15624" max="15626" width="8.84375" style="28"/>
    <col min="15627" max="15627" width="11.84375" style="28" customWidth="1"/>
    <col min="15628" max="15628" width="11" style="28" customWidth="1"/>
    <col min="15629" max="15629" width="10.15234375" style="28" customWidth="1"/>
    <col min="15630" max="15630" width="14.3046875" style="28" customWidth="1"/>
    <col min="15631" max="15631" width="9.69140625" style="28" customWidth="1"/>
    <col min="15632" max="15875" width="8.84375" style="28"/>
    <col min="15876" max="15876" width="11.84375" style="28" customWidth="1"/>
    <col min="15877" max="15877" width="11.3828125" style="28" customWidth="1"/>
    <col min="15878" max="15878" width="9.69140625" style="28" customWidth="1"/>
    <col min="15879" max="15879" width="13.3046875" style="28" customWidth="1"/>
    <col min="15880" max="15882" width="8.84375" style="28"/>
    <col min="15883" max="15883" width="11.84375" style="28" customWidth="1"/>
    <col min="15884" max="15884" width="11" style="28" customWidth="1"/>
    <col min="15885" max="15885" width="10.15234375" style="28" customWidth="1"/>
    <col min="15886" max="15886" width="14.3046875" style="28" customWidth="1"/>
    <col min="15887" max="15887" width="9.69140625" style="28" customWidth="1"/>
    <col min="15888" max="16131" width="8.84375" style="28"/>
    <col min="16132" max="16132" width="11.84375" style="28" customWidth="1"/>
    <col min="16133" max="16133" width="11.3828125" style="28" customWidth="1"/>
    <col min="16134" max="16134" width="9.69140625" style="28" customWidth="1"/>
    <col min="16135" max="16135" width="13.3046875" style="28" customWidth="1"/>
    <col min="16136" max="16138" width="8.84375" style="28"/>
    <col min="16139" max="16139" width="11.84375" style="28" customWidth="1"/>
    <col min="16140" max="16140" width="11" style="28" customWidth="1"/>
    <col min="16141" max="16141" width="10.15234375" style="28" customWidth="1"/>
    <col min="16142" max="16142" width="14.3046875" style="28" customWidth="1"/>
    <col min="16143" max="16143" width="9.69140625" style="28" customWidth="1"/>
    <col min="16144" max="16384" width="8.84375" style="28"/>
  </cols>
  <sheetData>
    <row r="1" spans="2:22" x14ac:dyDescent="0.3">
      <c r="J1" s="29"/>
      <c r="K1" s="29"/>
    </row>
    <row r="2" spans="2:22" x14ac:dyDescent="0.3">
      <c r="J2" s="29"/>
      <c r="K2" s="29"/>
    </row>
    <row r="3" spans="2:22" x14ac:dyDescent="0.3">
      <c r="C3" s="30"/>
      <c r="D3" s="364" t="s">
        <v>31</v>
      </c>
      <c r="E3" s="364"/>
      <c r="F3" s="364"/>
      <c r="G3" s="30"/>
      <c r="H3" s="31"/>
      <c r="I3" s="31"/>
      <c r="J3" s="30"/>
      <c r="K3" s="364" t="s">
        <v>32</v>
      </c>
      <c r="L3" s="364"/>
      <c r="M3" s="364"/>
      <c r="N3" s="30"/>
      <c r="O3" s="87"/>
    </row>
    <row r="4" spans="2:22" x14ac:dyDescent="0.3">
      <c r="B4" s="32"/>
      <c r="C4" s="365" t="s">
        <v>33</v>
      </c>
      <c r="D4" s="365"/>
      <c r="E4" s="365"/>
      <c r="F4" s="365"/>
      <c r="G4" s="365"/>
      <c r="H4" s="33"/>
      <c r="I4" s="34"/>
      <c r="J4" s="367" t="s">
        <v>33</v>
      </c>
      <c r="K4" s="368"/>
      <c r="L4" s="368"/>
      <c r="M4" s="368"/>
      <c r="N4" s="369"/>
      <c r="P4" s="31" t="s">
        <v>34</v>
      </c>
      <c r="Q4" s="89" t="s">
        <v>76</v>
      </c>
      <c r="T4" s="29"/>
      <c r="U4" s="29"/>
      <c r="V4" s="29"/>
    </row>
    <row r="5" spans="2:22" x14ac:dyDescent="0.3">
      <c r="B5" s="32"/>
      <c r="C5" s="365"/>
      <c r="D5" s="365"/>
      <c r="E5" s="365"/>
      <c r="F5" s="365"/>
      <c r="G5" s="365"/>
      <c r="H5" s="33"/>
      <c r="I5" s="34"/>
      <c r="J5" s="370"/>
      <c r="K5" s="371"/>
      <c r="L5" s="371"/>
      <c r="M5" s="371"/>
      <c r="N5" s="372"/>
      <c r="P5" s="85">
        <v>2500</v>
      </c>
      <c r="Q5" s="90" t="s">
        <v>72</v>
      </c>
      <c r="R5" s="35" t="s">
        <v>34</v>
      </c>
      <c r="T5" s="36" t="s">
        <v>35</v>
      </c>
      <c r="U5" s="36" t="s">
        <v>36</v>
      </c>
      <c r="V5" s="53" t="s">
        <v>75</v>
      </c>
    </row>
    <row r="6" spans="2:22" ht="12.9" thickBot="1" x14ac:dyDescent="0.35">
      <c r="B6" s="32"/>
      <c r="C6" s="366"/>
      <c r="D6" s="366"/>
      <c r="E6" s="366"/>
      <c r="F6" s="366"/>
      <c r="G6" s="366"/>
      <c r="H6" s="33"/>
      <c r="I6" s="34"/>
      <c r="J6" s="373"/>
      <c r="K6" s="374"/>
      <c r="L6" s="374"/>
      <c r="M6" s="374"/>
      <c r="N6" s="375"/>
      <c r="P6" s="85">
        <v>5000</v>
      </c>
      <c r="Q6" s="90" t="s">
        <v>77</v>
      </c>
      <c r="R6" s="35" t="s">
        <v>18</v>
      </c>
      <c r="T6" s="35" t="s">
        <v>37</v>
      </c>
      <c r="U6" s="35" t="s">
        <v>38</v>
      </c>
      <c r="V6" s="35" t="s">
        <v>205</v>
      </c>
    </row>
    <row r="7" spans="2:22" ht="13.2" customHeight="1" x14ac:dyDescent="0.3">
      <c r="C7" s="376" t="s">
        <v>39</v>
      </c>
      <c r="D7" s="379" t="s">
        <v>40</v>
      </c>
      <c r="E7" s="382" t="s">
        <v>41</v>
      </c>
      <c r="F7" s="382"/>
      <c r="G7" s="383"/>
      <c r="H7" s="31"/>
      <c r="I7" s="31"/>
      <c r="J7" s="376" t="s">
        <v>39</v>
      </c>
      <c r="K7" s="379" t="s">
        <v>40</v>
      </c>
      <c r="L7" s="382" t="s">
        <v>41</v>
      </c>
      <c r="M7" s="382"/>
      <c r="N7" s="383"/>
      <c r="P7" s="85">
        <v>7500</v>
      </c>
      <c r="Q7" s="86" t="s">
        <v>78</v>
      </c>
      <c r="T7" s="37">
        <v>1</v>
      </c>
      <c r="U7" s="54">
        <v>10000</v>
      </c>
      <c r="V7" s="54" t="str">
        <f>VLOOKUP(U7,P5:Q8,2,FALSE)</f>
        <v>20˚</v>
      </c>
    </row>
    <row r="8" spans="2:22" ht="13.2" customHeight="1" x14ac:dyDescent="0.3">
      <c r="C8" s="377"/>
      <c r="D8" s="380"/>
      <c r="E8" s="380" t="s">
        <v>42</v>
      </c>
      <c r="F8" s="380" t="s">
        <v>43</v>
      </c>
      <c r="G8" s="384" t="s">
        <v>44</v>
      </c>
      <c r="H8" s="38"/>
      <c r="I8" s="39"/>
      <c r="J8" s="377"/>
      <c r="K8" s="380"/>
      <c r="L8" s="380" t="s">
        <v>42</v>
      </c>
      <c r="M8" s="380" t="s">
        <v>43</v>
      </c>
      <c r="N8" s="384" t="s">
        <v>44</v>
      </c>
      <c r="P8" s="85">
        <v>10000</v>
      </c>
      <c r="Q8" s="86" t="s">
        <v>79</v>
      </c>
      <c r="T8" s="29"/>
      <c r="U8" s="29"/>
    </row>
    <row r="9" spans="2:22" ht="13.2" customHeight="1" x14ac:dyDescent="0.3">
      <c r="C9" s="377"/>
      <c r="D9" s="380"/>
      <c r="E9" s="380"/>
      <c r="F9" s="380"/>
      <c r="G9" s="384"/>
      <c r="H9" s="38"/>
      <c r="I9" s="39"/>
      <c r="J9" s="377"/>
      <c r="K9" s="380"/>
      <c r="L9" s="380"/>
      <c r="M9" s="380"/>
      <c r="N9" s="384"/>
      <c r="O9" s="87"/>
      <c r="T9" s="386" t="s">
        <v>45</v>
      </c>
      <c r="U9" s="386"/>
    </row>
    <row r="10" spans="2:22" ht="13.2" customHeight="1" x14ac:dyDescent="0.3">
      <c r="C10" s="378"/>
      <c r="D10" s="381"/>
      <c r="E10" s="381"/>
      <c r="F10" s="381"/>
      <c r="G10" s="385"/>
      <c r="H10" s="38"/>
      <c r="I10" s="39"/>
      <c r="J10" s="378"/>
      <c r="K10" s="381"/>
      <c r="L10" s="381"/>
      <c r="M10" s="381"/>
      <c r="N10" s="385"/>
      <c r="O10" s="87"/>
      <c r="T10" s="40" t="s">
        <v>34</v>
      </c>
      <c r="U10" s="40" t="s">
        <v>18</v>
      </c>
      <c r="V10" s="41"/>
    </row>
    <row r="11" spans="2:22" ht="13.2" customHeight="1" x14ac:dyDescent="0.3">
      <c r="C11" s="42">
        <v>0.5</v>
      </c>
      <c r="D11" s="43">
        <v>15</v>
      </c>
      <c r="E11" s="43">
        <v>35</v>
      </c>
      <c r="F11" s="43">
        <v>26</v>
      </c>
      <c r="G11" s="44">
        <v>19</v>
      </c>
      <c r="H11" s="38"/>
      <c r="I11" s="39"/>
      <c r="J11" s="42">
        <v>0.5</v>
      </c>
      <c r="K11" s="43">
        <f>ROUNDUP(D11*(2/3),0)</f>
        <v>10</v>
      </c>
      <c r="L11" s="43">
        <f>ROUNDUP(E11*(2/3),0)</f>
        <v>24</v>
      </c>
      <c r="M11" s="43">
        <f>ROUNDUP(F11*(2/3),0)</f>
        <v>18</v>
      </c>
      <c r="N11" s="44">
        <f>ROUNDUP(G11*(2/3),0)</f>
        <v>13</v>
      </c>
      <c r="O11" s="87"/>
      <c r="S11" s="45" t="s">
        <v>46</v>
      </c>
      <c r="T11" s="55">
        <f>'HWCP CALCULATION OPT#2'!E36</f>
        <v>106132</v>
      </c>
      <c r="U11" s="46">
        <f>ROUNDUP(T11/$U$7,0)</f>
        <v>11</v>
      </c>
      <c r="V11" s="29"/>
    </row>
    <row r="12" spans="2:22" ht="13.2" customHeight="1" x14ac:dyDescent="0.3">
      <c r="C12" s="42">
        <v>0.75</v>
      </c>
      <c r="D12" s="43">
        <v>17</v>
      </c>
      <c r="E12" s="43">
        <v>43</v>
      </c>
      <c r="F12" s="43">
        <v>32</v>
      </c>
      <c r="G12" s="44">
        <v>26</v>
      </c>
      <c r="H12" s="38"/>
      <c r="I12" s="39"/>
      <c r="J12" s="42">
        <v>0.75</v>
      </c>
      <c r="K12" s="43">
        <f>ROUNDUP(D12*(2/3),0)</f>
        <v>12</v>
      </c>
      <c r="L12" s="43">
        <f t="shared" ref="L12:N22" si="0">ROUNDUP(E12*(2/3),0)</f>
        <v>29</v>
      </c>
      <c r="M12" s="43">
        <f t="shared" si="0"/>
        <v>22</v>
      </c>
      <c r="N12" s="44">
        <f t="shared" si="0"/>
        <v>18</v>
      </c>
      <c r="O12" s="87"/>
      <c r="S12" s="45" t="s">
        <v>46</v>
      </c>
      <c r="T12" s="55">
        <f>'HWCP CALCULATION OPT#1'!H20</f>
        <v>107070</v>
      </c>
      <c r="U12" s="46">
        <f>ROUNDUP(T12/$U$7,0)</f>
        <v>11</v>
      </c>
      <c r="V12" s="29"/>
    </row>
    <row r="13" spans="2:22" ht="13.2" customHeight="1" x14ac:dyDescent="0.3">
      <c r="C13" s="42">
        <v>1</v>
      </c>
      <c r="D13" s="43">
        <v>19</v>
      </c>
      <c r="E13" s="43">
        <v>53</v>
      </c>
      <c r="F13" s="43">
        <v>38</v>
      </c>
      <c r="G13" s="44">
        <v>32</v>
      </c>
      <c r="H13" s="38"/>
      <c r="I13" s="39"/>
      <c r="J13" s="42">
        <v>1</v>
      </c>
      <c r="K13" s="43">
        <f t="shared" ref="K13:K22" si="1">ROUNDUP(D13*(2/3),0)</f>
        <v>13</v>
      </c>
      <c r="L13" s="43">
        <f t="shared" si="0"/>
        <v>36</v>
      </c>
      <c r="M13" s="43">
        <f t="shared" si="0"/>
        <v>26</v>
      </c>
      <c r="N13" s="44">
        <f t="shared" si="0"/>
        <v>22</v>
      </c>
      <c r="O13" s="87"/>
      <c r="V13" s="29"/>
    </row>
    <row r="14" spans="2:22" ht="13.2" customHeight="1" x14ac:dyDescent="0.3">
      <c r="C14" s="42">
        <v>1.25</v>
      </c>
      <c r="D14" s="43">
        <v>21</v>
      </c>
      <c r="E14" s="43">
        <v>65</v>
      </c>
      <c r="F14" s="43">
        <v>46</v>
      </c>
      <c r="G14" s="44">
        <v>39</v>
      </c>
      <c r="H14" s="38"/>
      <c r="I14" s="39"/>
      <c r="J14" s="42">
        <v>1.25</v>
      </c>
      <c r="K14" s="43">
        <f t="shared" si="1"/>
        <v>14</v>
      </c>
      <c r="L14" s="43">
        <f t="shared" si="0"/>
        <v>44</v>
      </c>
      <c r="M14" s="43">
        <f t="shared" si="0"/>
        <v>31</v>
      </c>
      <c r="N14" s="44">
        <f t="shared" si="0"/>
        <v>26</v>
      </c>
      <c r="O14" s="87"/>
      <c r="V14" s="29"/>
    </row>
    <row r="15" spans="2:22" ht="13.2" customHeight="1" x14ac:dyDescent="0.3">
      <c r="C15" s="42">
        <v>1.5</v>
      </c>
      <c r="D15" s="43">
        <v>25</v>
      </c>
      <c r="E15" s="43">
        <v>73</v>
      </c>
      <c r="F15" s="43">
        <v>53</v>
      </c>
      <c r="G15" s="44">
        <v>46</v>
      </c>
      <c r="H15" s="38"/>
      <c r="I15" s="39"/>
      <c r="J15" s="42">
        <v>1.5</v>
      </c>
      <c r="K15" s="43">
        <f t="shared" si="1"/>
        <v>17</v>
      </c>
      <c r="L15" s="43">
        <f t="shared" si="0"/>
        <v>49</v>
      </c>
      <c r="M15" s="43">
        <f t="shared" si="0"/>
        <v>36</v>
      </c>
      <c r="N15" s="44">
        <f t="shared" si="0"/>
        <v>31</v>
      </c>
      <c r="O15" s="88"/>
      <c r="R15" s="300" t="s">
        <v>3</v>
      </c>
      <c r="S15" s="301"/>
      <c r="T15" s="302" t="s">
        <v>4</v>
      </c>
      <c r="U15" s="303"/>
      <c r="V15" s="304"/>
    </row>
    <row r="16" spans="2:22" ht="13.2" customHeight="1" x14ac:dyDescent="0.3">
      <c r="C16" s="42">
        <v>2</v>
      </c>
      <c r="D16" s="43">
        <v>28</v>
      </c>
      <c r="E16" s="43">
        <v>91</v>
      </c>
      <c r="F16" s="43">
        <v>65</v>
      </c>
      <c r="G16" s="44">
        <v>58</v>
      </c>
      <c r="H16" s="38"/>
      <c r="I16" s="39"/>
      <c r="J16" s="42">
        <v>2</v>
      </c>
      <c r="K16" s="43">
        <f t="shared" si="1"/>
        <v>19</v>
      </c>
      <c r="L16" s="43">
        <f t="shared" si="0"/>
        <v>61</v>
      </c>
      <c r="M16" s="43">
        <f t="shared" si="0"/>
        <v>44</v>
      </c>
      <c r="N16" s="44">
        <f t="shared" si="0"/>
        <v>39</v>
      </c>
      <c r="O16" s="88"/>
      <c r="R16" s="307" t="s">
        <v>72</v>
      </c>
      <c r="S16" s="287"/>
      <c r="T16" s="286" t="s">
        <v>73</v>
      </c>
      <c r="U16" s="392"/>
      <c r="V16" s="287"/>
    </row>
    <row r="17" spans="3:22" ht="13.2" customHeight="1" x14ac:dyDescent="0.3">
      <c r="C17" s="42">
        <v>2.5</v>
      </c>
      <c r="D17" s="43">
        <v>32</v>
      </c>
      <c r="E17" s="43">
        <v>108</v>
      </c>
      <c r="F17" s="43">
        <v>75</v>
      </c>
      <c r="G17" s="44">
        <v>68</v>
      </c>
      <c r="H17" s="38"/>
      <c r="I17" s="39"/>
      <c r="J17" s="42">
        <v>2.5</v>
      </c>
      <c r="K17" s="43">
        <f t="shared" si="1"/>
        <v>22</v>
      </c>
      <c r="L17" s="43">
        <f t="shared" si="0"/>
        <v>72</v>
      </c>
      <c r="M17" s="43">
        <f t="shared" si="0"/>
        <v>50</v>
      </c>
      <c r="N17" s="44">
        <f t="shared" si="0"/>
        <v>46</v>
      </c>
      <c r="O17" s="88"/>
      <c r="R17" s="286" t="s">
        <v>5</v>
      </c>
      <c r="S17" s="287"/>
      <c r="T17" s="286" t="s">
        <v>6</v>
      </c>
      <c r="U17" s="392"/>
      <c r="V17" s="287"/>
    </row>
    <row r="18" spans="3:22" ht="13.2" customHeight="1" x14ac:dyDescent="0.3">
      <c r="C18" s="42">
        <v>3</v>
      </c>
      <c r="D18" s="43">
        <v>38</v>
      </c>
      <c r="E18" s="43">
        <v>129</v>
      </c>
      <c r="F18" s="43">
        <v>90</v>
      </c>
      <c r="G18" s="44">
        <v>81</v>
      </c>
      <c r="H18" s="38"/>
      <c r="I18" s="39"/>
      <c r="J18" s="42">
        <v>3</v>
      </c>
      <c r="K18" s="43">
        <f t="shared" si="1"/>
        <v>26</v>
      </c>
      <c r="L18" s="43">
        <f t="shared" si="0"/>
        <v>86</v>
      </c>
      <c r="M18" s="43">
        <f t="shared" si="0"/>
        <v>60</v>
      </c>
      <c r="N18" s="44">
        <f t="shared" si="0"/>
        <v>54</v>
      </c>
      <c r="O18" s="88"/>
      <c r="R18" s="286" t="s">
        <v>7</v>
      </c>
      <c r="S18" s="287"/>
      <c r="T18" s="393" t="s">
        <v>8</v>
      </c>
      <c r="U18" s="394"/>
      <c r="V18" s="395"/>
    </row>
    <row r="19" spans="3:22" ht="13.2" customHeight="1" x14ac:dyDescent="0.3">
      <c r="C19" s="42">
        <v>4</v>
      </c>
      <c r="D19" s="43">
        <v>46</v>
      </c>
      <c r="E19" s="43">
        <v>163</v>
      </c>
      <c r="F19" s="43">
        <v>113</v>
      </c>
      <c r="G19" s="44">
        <v>103</v>
      </c>
      <c r="H19" s="38"/>
      <c r="I19" s="39"/>
      <c r="J19" s="42">
        <v>4</v>
      </c>
      <c r="K19" s="43">
        <f t="shared" si="1"/>
        <v>31</v>
      </c>
      <c r="L19" s="43">
        <f t="shared" si="0"/>
        <v>109</v>
      </c>
      <c r="M19" s="43">
        <f t="shared" si="0"/>
        <v>76</v>
      </c>
      <c r="N19" s="44">
        <f t="shared" si="0"/>
        <v>69</v>
      </c>
      <c r="O19" s="88"/>
      <c r="R19" s="286" t="s">
        <v>9</v>
      </c>
      <c r="S19" s="287"/>
      <c r="T19" s="393" t="s">
        <v>10</v>
      </c>
      <c r="U19" s="394"/>
      <c r="V19" s="395"/>
    </row>
    <row r="20" spans="3:22" ht="13.2" customHeight="1" x14ac:dyDescent="0.3">
      <c r="C20" s="42">
        <v>5</v>
      </c>
      <c r="D20" s="43">
        <v>55</v>
      </c>
      <c r="E20" s="43">
        <v>199</v>
      </c>
      <c r="F20" s="43">
        <v>138</v>
      </c>
      <c r="G20" s="44">
        <v>127</v>
      </c>
      <c r="H20" s="38"/>
      <c r="I20" s="39"/>
      <c r="J20" s="42">
        <v>5</v>
      </c>
      <c r="K20" s="43">
        <f t="shared" si="1"/>
        <v>37</v>
      </c>
      <c r="L20" s="43">
        <f t="shared" si="0"/>
        <v>133</v>
      </c>
      <c r="M20" s="43">
        <f t="shared" si="0"/>
        <v>92</v>
      </c>
      <c r="N20" s="44">
        <f t="shared" si="0"/>
        <v>85</v>
      </c>
      <c r="O20" s="88"/>
    </row>
    <row r="21" spans="3:22" ht="13.2" customHeight="1" x14ac:dyDescent="0.3">
      <c r="C21" s="42">
        <v>6</v>
      </c>
      <c r="D21" s="43">
        <v>63</v>
      </c>
      <c r="E21" s="43">
        <v>233</v>
      </c>
      <c r="F21" s="43">
        <v>161</v>
      </c>
      <c r="G21" s="44">
        <v>149</v>
      </c>
      <c r="H21" s="38"/>
      <c r="I21" s="39"/>
      <c r="J21" s="42">
        <v>6</v>
      </c>
      <c r="K21" s="43">
        <f t="shared" si="1"/>
        <v>42</v>
      </c>
      <c r="L21" s="43">
        <f t="shared" si="0"/>
        <v>156</v>
      </c>
      <c r="M21" s="43">
        <f t="shared" si="0"/>
        <v>108</v>
      </c>
      <c r="N21" s="44">
        <f t="shared" si="0"/>
        <v>100</v>
      </c>
      <c r="O21" s="88"/>
    </row>
    <row r="22" spans="3:22" ht="12.9" thickBot="1" x14ac:dyDescent="0.35">
      <c r="C22" s="47">
        <v>8</v>
      </c>
      <c r="D22" s="48">
        <v>80</v>
      </c>
      <c r="E22" s="48">
        <v>299</v>
      </c>
      <c r="F22" s="48">
        <v>201</v>
      </c>
      <c r="G22" s="49">
        <v>188</v>
      </c>
      <c r="H22" s="31"/>
      <c r="I22" s="31"/>
      <c r="J22" s="47">
        <v>8</v>
      </c>
      <c r="K22" s="48">
        <f t="shared" si="1"/>
        <v>54</v>
      </c>
      <c r="L22" s="48">
        <f t="shared" si="0"/>
        <v>200</v>
      </c>
      <c r="M22" s="48">
        <f t="shared" si="0"/>
        <v>134</v>
      </c>
      <c r="N22" s="49">
        <f t="shared" si="0"/>
        <v>126</v>
      </c>
      <c r="O22" s="88"/>
    </row>
    <row r="23" spans="3:22" x14ac:dyDescent="0.3">
      <c r="J23" s="29"/>
      <c r="K23" s="29"/>
    </row>
    <row r="24" spans="3:22" x14ac:dyDescent="0.3">
      <c r="J24" s="50" t="s">
        <v>47</v>
      </c>
      <c r="K24" s="29"/>
    </row>
    <row r="25" spans="3:22" x14ac:dyDescent="0.3">
      <c r="J25" s="51" t="s">
        <v>48</v>
      </c>
      <c r="K25" s="52"/>
      <c r="L25" s="52"/>
      <c r="M25" s="52"/>
      <c r="N25" s="52"/>
      <c r="O25" s="52"/>
    </row>
    <row r="26" spans="3:22" x14ac:dyDescent="0.3">
      <c r="J26" s="29"/>
      <c r="K26" s="387" t="s">
        <v>49</v>
      </c>
      <c r="L26" s="388"/>
      <c r="M26" s="388"/>
    </row>
    <row r="27" spans="3:22" x14ac:dyDescent="0.3">
      <c r="J27" s="29"/>
      <c r="K27" s="29"/>
    </row>
    <row r="28" spans="3:22" x14ac:dyDescent="0.3">
      <c r="J28" s="29"/>
      <c r="K28" s="29"/>
    </row>
    <row r="29" spans="3:22" x14ac:dyDescent="0.3">
      <c r="J29" s="29"/>
      <c r="K29" s="29"/>
    </row>
    <row r="30" spans="3:22" x14ac:dyDescent="0.3">
      <c r="C30" s="389" t="s">
        <v>52</v>
      </c>
      <c r="D30" s="389"/>
      <c r="E30" s="389"/>
      <c r="F30" s="389"/>
      <c r="G30" s="389"/>
      <c r="H30" s="389"/>
      <c r="I30" s="389"/>
      <c r="J30" s="389"/>
      <c r="K30" s="389"/>
    </row>
    <row r="31" spans="3:22" ht="15.45" x14ac:dyDescent="0.4">
      <c r="C31" s="24" t="s">
        <v>26</v>
      </c>
      <c r="D31" s="25"/>
      <c r="E31" s="25"/>
      <c r="F31" s="25"/>
      <c r="G31" s="25"/>
      <c r="H31" s="25"/>
      <c r="I31" s="26"/>
      <c r="J31" s="27" t="s">
        <v>27</v>
      </c>
      <c r="K31" s="27"/>
      <c r="M31" s="83" t="s">
        <v>74</v>
      </c>
      <c r="N31" s="84"/>
      <c r="O31" s="84"/>
      <c r="P31" s="84"/>
    </row>
    <row r="32" spans="3:22" ht="15.45" x14ac:dyDescent="0.4">
      <c r="C32" s="24" t="s">
        <v>28</v>
      </c>
      <c r="D32" s="25"/>
      <c r="E32" s="25"/>
      <c r="F32" s="25"/>
      <c r="G32" s="25"/>
      <c r="H32" s="25"/>
      <c r="I32" s="26"/>
      <c r="J32" s="27" t="s">
        <v>29</v>
      </c>
      <c r="K32" s="27"/>
    </row>
    <row r="33" spans="2:26" x14ac:dyDescent="0.3">
      <c r="J33" s="29"/>
      <c r="K33" s="29"/>
    </row>
    <row r="34" spans="2:26" x14ac:dyDescent="0.3">
      <c r="J34" s="29"/>
      <c r="K34" s="29"/>
    </row>
    <row r="35" spans="2:26" x14ac:dyDescent="0.3">
      <c r="J35" s="29"/>
      <c r="K35" s="29"/>
    </row>
    <row r="36" spans="2:26" ht="20.6" x14ac:dyDescent="0.3">
      <c r="C36" s="390" t="s">
        <v>53</v>
      </c>
      <c r="J36" s="29"/>
      <c r="K36" s="29"/>
      <c r="O36" s="97"/>
      <c r="P36" s="98" t="s">
        <v>81</v>
      </c>
      <c r="Q36" s="99" t="s">
        <v>82</v>
      </c>
      <c r="R36" s="99" t="s">
        <v>83</v>
      </c>
      <c r="S36" s="99" t="s">
        <v>84</v>
      </c>
      <c r="T36" s="99" t="s">
        <v>85</v>
      </c>
      <c r="U36" s="99" t="s">
        <v>86</v>
      </c>
      <c r="V36" s="98" t="s">
        <v>87</v>
      </c>
      <c r="W36" s="98" t="s">
        <v>88</v>
      </c>
      <c r="X36" s="99" t="s">
        <v>89</v>
      </c>
      <c r="Y36" s="99" t="s">
        <v>90</v>
      </c>
      <c r="Z36" s="100"/>
    </row>
    <row r="37" spans="2:26" x14ac:dyDescent="0.3">
      <c r="C37" s="391"/>
      <c r="O37" s="101" t="s">
        <v>91</v>
      </c>
      <c r="P37" s="102">
        <v>2</v>
      </c>
      <c r="Q37" s="102">
        <v>2</v>
      </c>
      <c r="R37" s="102">
        <v>2</v>
      </c>
      <c r="S37" s="102">
        <v>2</v>
      </c>
      <c r="T37" s="102">
        <v>2</v>
      </c>
      <c r="U37" s="102">
        <v>2</v>
      </c>
      <c r="V37" s="102">
        <v>2</v>
      </c>
      <c r="W37" s="102">
        <v>2</v>
      </c>
      <c r="X37" s="102">
        <v>2</v>
      </c>
      <c r="Y37" s="102">
        <v>2</v>
      </c>
      <c r="Z37" s="100"/>
    </row>
    <row r="38" spans="2:26" x14ac:dyDescent="0.3">
      <c r="C38" s="391"/>
      <c r="O38" s="101" t="s">
        <v>92</v>
      </c>
      <c r="P38" s="102">
        <v>4</v>
      </c>
      <c r="Q38" s="102">
        <v>6</v>
      </c>
      <c r="R38" s="102">
        <v>6</v>
      </c>
      <c r="S38" s="102">
        <v>8</v>
      </c>
      <c r="T38" s="102">
        <v>8</v>
      </c>
      <c r="U38" s="102">
        <v>12</v>
      </c>
      <c r="V38" s="102">
        <v>6</v>
      </c>
      <c r="W38" s="102"/>
      <c r="X38" s="102">
        <v>15</v>
      </c>
      <c r="Y38" s="102">
        <v>8</v>
      </c>
      <c r="Z38" s="100"/>
    </row>
    <row r="39" spans="2:26" x14ac:dyDescent="0.3">
      <c r="C39" s="391"/>
      <c r="O39" s="101" t="s">
        <v>93</v>
      </c>
      <c r="P39" s="102">
        <v>20</v>
      </c>
      <c r="Q39" s="102">
        <v>20</v>
      </c>
      <c r="R39" s="102">
        <v>20</v>
      </c>
      <c r="S39" s="102">
        <v>20</v>
      </c>
      <c r="T39" s="102">
        <v>30</v>
      </c>
      <c r="U39" s="102"/>
      <c r="V39" s="102"/>
      <c r="W39" s="102">
        <v>20</v>
      </c>
      <c r="X39" s="102"/>
      <c r="Y39" s="102">
        <v>30</v>
      </c>
      <c r="Z39" s="100"/>
    </row>
    <row r="40" spans="2:26" x14ac:dyDescent="0.3">
      <c r="C40" s="391"/>
      <c r="O40" s="101" t="s">
        <v>94</v>
      </c>
      <c r="P40" s="102">
        <v>15</v>
      </c>
      <c r="Q40" s="102">
        <v>100</v>
      </c>
      <c r="R40" s="102">
        <v>100</v>
      </c>
      <c r="S40" s="102">
        <v>125</v>
      </c>
      <c r="T40" s="102"/>
      <c r="U40" s="102">
        <v>60</v>
      </c>
      <c r="V40" s="102"/>
      <c r="W40" s="102">
        <v>15</v>
      </c>
      <c r="X40" s="102">
        <v>60</v>
      </c>
      <c r="Y40" s="102">
        <v>60</v>
      </c>
      <c r="Z40" s="100"/>
    </row>
    <row r="41" spans="2:26" x14ac:dyDescent="0.3">
      <c r="O41" s="101" t="s">
        <v>95</v>
      </c>
      <c r="P41" s="102">
        <v>3</v>
      </c>
      <c r="Q41" s="102">
        <v>3</v>
      </c>
      <c r="R41" s="102">
        <v>3</v>
      </c>
      <c r="S41" s="102">
        <v>3</v>
      </c>
      <c r="T41" s="102">
        <v>12</v>
      </c>
      <c r="U41" s="102">
        <v>12</v>
      </c>
      <c r="V41" s="102"/>
      <c r="W41" s="102">
        <v>3</v>
      </c>
      <c r="X41" s="102">
        <v>3</v>
      </c>
      <c r="Y41" s="102">
        <v>12</v>
      </c>
      <c r="Z41" s="100"/>
    </row>
    <row r="42" spans="2:26" x14ac:dyDescent="0.3">
      <c r="E42" s="31" t="s">
        <v>186</v>
      </c>
      <c r="O42" s="101" t="s">
        <v>96</v>
      </c>
      <c r="P42" s="102">
        <v>10</v>
      </c>
      <c r="Q42" s="102">
        <v>20</v>
      </c>
      <c r="R42" s="102">
        <v>20</v>
      </c>
      <c r="S42" s="102">
        <v>30</v>
      </c>
      <c r="T42" s="102"/>
      <c r="U42" s="102">
        <v>20</v>
      </c>
      <c r="V42" s="102">
        <v>20</v>
      </c>
      <c r="W42" s="102">
        <v>10</v>
      </c>
      <c r="X42" s="102">
        <v>20</v>
      </c>
      <c r="Y42" s="102">
        <v>20</v>
      </c>
      <c r="Z42" s="100"/>
    </row>
    <row r="43" spans="2:26" ht="14.6" x14ac:dyDescent="0.4">
      <c r="B43" s="362" t="s">
        <v>57</v>
      </c>
      <c r="C43" s="363"/>
      <c r="D43" s="363"/>
      <c r="E43" s="363"/>
      <c r="F43" s="363"/>
      <c r="G43" s="363"/>
      <c r="H43" s="60">
        <f>9.81/3600*'HWCP CALCULATION OPT#1'!E25*'HWCP CALCULATION OPT#1'!G35/'HWCP CALCULATION OPT#1'!G48</f>
        <v>0.436</v>
      </c>
      <c r="K43" s="31" t="s">
        <v>230</v>
      </c>
      <c r="L43" s="160">
        <v>0.1</v>
      </c>
      <c r="O43" s="101" t="s">
        <v>97</v>
      </c>
      <c r="P43" s="102">
        <v>20</v>
      </c>
      <c r="Q43" s="102">
        <v>28</v>
      </c>
      <c r="R43" s="102">
        <v>28</v>
      </c>
      <c r="S43" s="102">
        <v>28</v>
      </c>
      <c r="T43" s="102"/>
      <c r="U43" s="102"/>
      <c r="V43" s="102"/>
      <c r="W43" s="102">
        <v>20</v>
      </c>
      <c r="X43" s="102"/>
      <c r="Y43" s="102">
        <v>28</v>
      </c>
      <c r="Z43" s="100"/>
    </row>
    <row r="44" spans="2:26" x14ac:dyDescent="0.3">
      <c r="H44" s="82">
        <f>IF('HWCP CALCULATION OPT#1'!G49&lt;=0.5,0.5,IF(AND('HWCP CALCULATION OPT#1'!G49&gt;0.5,'HWCP CALCULATION OPT#1'!G49&lt;=1),1,ROUNDUP('HWCP CALCULATION OPT#1'!G49,1)))</f>
        <v>0.5</v>
      </c>
      <c r="K44" s="31" t="s">
        <v>229</v>
      </c>
      <c r="L44" s="160">
        <v>0.15</v>
      </c>
      <c r="O44" s="101" t="s">
        <v>98</v>
      </c>
      <c r="P44" s="102">
        <v>5</v>
      </c>
      <c r="Q44" s="102">
        <v>10</v>
      </c>
      <c r="R44" s="102">
        <v>10</v>
      </c>
      <c r="S44" s="102">
        <v>10</v>
      </c>
      <c r="T44" s="102"/>
      <c r="U44" s="102">
        <v>225</v>
      </c>
      <c r="V44" s="102">
        <v>10</v>
      </c>
      <c r="W44" s="102">
        <v>5</v>
      </c>
      <c r="X44" s="102">
        <v>10</v>
      </c>
      <c r="Y44" s="102">
        <v>10</v>
      </c>
      <c r="Z44" s="100"/>
    </row>
    <row r="45" spans="2:26" x14ac:dyDescent="0.3">
      <c r="L45" s="160">
        <v>0.2</v>
      </c>
      <c r="O45" s="101" t="s">
        <v>99</v>
      </c>
      <c r="P45" s="102">
        <v>30</v>
      </c>
      <c r="Q45" s="102">
        <v>150</v>
      </c>
      <c r="R45" s="102">
        <v>75</v>
      </c>
      <c r="S45" s="102">
        <v>75</v>
      </c>
      <c r="T45" s="102">
        <v>225</v>
      </c>
      <c r="U45" s="102">
        <v>20</v>
      </c>
      <c r="V45" s="102">
        <v>30</v>
      </c>
      <c r="W45" s="102">
        <v>30</v>
      </c>
      <c r="X45" s="102">
        <v>225</v>
      </c>
      <c r="Y45" s="102">
        <v>225</v>
      </c>
      <c r="Z45" s="100"/>
    </row>
    <row r="46" spans="2:26" x14ac:dyDescent="0.3">
      <c r="E46" s="31" t="s">
        <v>187</v>
      </c>
      <c r="L46" s="160">
        <v>0.25</v>
      </c>
      <c r="O46" s="101" t="s">
        <v>100</v>
      </c>
      <c r="P46" s="102">
        <v>20</v>
      </c>
      <c r="Q46" s="102">
        <v>20</v>
      </c>
      <c r="R46" s="102">
        <v>20</v>
      </c>
      <c r="S46" s="102">
        <v>30</v>
      </c>
      <c r="T46" s="102"/>
      <c r="U46" s="102"/>
      <c r="V46" s="102">
        <v>20</v>
      </c>
      <c r="W46" s="102">
        <v>15</v>
      </c>
      <c r="X46" s="102">
        <v>20</v>
      </c>
      <c r="Y46" s="102">
        <v>20</v>
      </c>
      <c r="Z46" s="100"/>
    </row>
    <row r="47" spans="2:26" ht="14.6" x14ac:dyDescent="0.4">
      <c r="B47" s="362" t="s">
        <v>57</v>
      </c>
      <c r="C47" s="363"/>
      <c r="D47" s="363"/>
      <c r="E47" s="363"/>
      <c r="F47" s="363"/>
      <c r="G47" s="363"/>
      <c r="H47" s="60">
        <f>9.81/3600*'HWCP CALCULATION OPT#2'!E41*'HWCP CALCULATION OPT#2'!G59/'HWCP CALCULATION OPT#2'!G64</f>
        <v>0.5377333333333334</v>
      </c>
      <c r="L47" s="160">
        <v>0.3</v>
      </c>
      <c r="O47" s="101" t="s">
        <v>101</v>
      </c>
      <c r="P47" s="102"/>
      <c r="Q47" s="102"/>
      <c r="R47" s="103">
        <v>400</v>
      </c>
      <c r="S47" s="102"/>
      <c r="T47" s="102"/>
      <c r="U47" s="102"/>
      <c r="V47" s="102"/>
      <c r="W47" s="102"/>
      <c r="X47" s="102"/>
      <c r="Y47" s="102"/>
      <c r="Z47" s="100"/>
    </row>
    <row r="48" spans="2:26" x14ac:dyDescent="0.3">
      <c r="H48" s="82">
        <f>IF('HWCP CALCULATION OPT#2'!G65&lt;=0.5,0.5,IF(AND('HWCP CALCULATION OPT#2'!G65&gt;0.5,'HWCP CALCULATION OPT#2'!G65&lt;=1),1,ROUNDUP('HWCP CALCULATION OPT#2'!G65,1)))</f>
        <v>1</v>
      </c>
      <c r="O48" s="101" t="s">
        <v>102</v>
      </c>
      <c r="P48" s="102"/>
      <c r="Q48" s="102"/>
      <c r="R48" s="102">
        <v>600</v>
      </c>
      <c r="S48" s="102"/>
      <c r="T48" s="102"/>
      <c r="U48" s="102"/>
      <c r="V48" s="102"/>
      <c r="W48" s="102"/>
      <c r="X48" s="102"/>
      <c r="Y48" s="102"/>
      <c r="Z48" s="100"/>
    </row>
    <row r="49" spans="15:26" x14ac:dyDescent="0.3">
      <c r="O49" s="101" t="s">
        <v>103</v>
      </c>
      <c r="P49" s="102"/>
      <c r="Q49" s="102"/>
      <c r="R49" s="102">
        <v>100</v>
      </c>
      <c r="S49" s="102"/>
      <c r="T49" s="102"/>
      <c r="U49" s="102"/>
      <c r="V49" s="102"/>
      <c r="W49" s="102"/>
      <c r="X49" s="102"/>
      <c r="Y49" s="102"/>
      <c r="Z49" s="100"/>
    </row>
    <row r="50" spans="15:26" x14ac:dyDescent="0.3">
      <c r="O50" s="101" t="s">
        <v>104</v>
      </c>
      <c r="P50" s="102"/>
      <c r="Q50" s="102"/>
      <c r="R50" s="102">
        <v>35</v>
      </c>
      <c r="S50" s="102"/>
      <c r="T50" s="102"/>
      <c r="U50" s="102"/>
      <c r="V50" s="102"/>
      <c r="W50" s="102"/>
      <c r="X50" s="102"/>
      <c r="Y50" s="102"/>
      <c r="Z50" s="100"/>
    </row>
    <row r="51" spans="15:26" x14ac:dyDescent="0.3">
      <c r="O51" s="101" t="s">
        <v>105</v>
      </c>
      <c r="P51" s="102"/>
      <c r="Q51" s="102"/>
      <c r="R51" s="102">
        <v>30</v>
      </c>
      <c r="S51" s="102"/>
      <c r="T51" s="102"/>
      <c r="U51" s="102"/>
      <c r="V51" s="102"/>
      <c r="W51" s="102"/>
      <c r="X51" s="102"/>
      <c r="Y51" s="102"/>
      <c r="Z51" s="100"/>
    </row>
    <row r="52" spans="15:26" x14ac:dyDescent="0.3">
      <c r="O52" s="101" t="s">
        <v>106</v>
      </c>
      <c r="P52" s="102"/>
      <c r="Q52" s="102"/>
      <c r="R52" s="102">
        <v>165</v>
      </c>
      <c r="S52" s="102"/>
      <c r="T52" s="102"/>
      <c r="U52" s="102"/>
      <c r="V52" s="102"/>
      <c r="W52" s="102"/>
      <c r="X52" s="102"/>
      <c r="Y52" s="102"/>
      <c r="Z52" s="100"/>
    </row>
    <row r="53" spans="15:26" x14ac:dyDescent="0.3">
      <c r="O53" s="101" t="s">
        <v>107</v>
      </c>
      <c r="P53" s="102"/>
      <c r="Q53" s="102"/>
      <c r="R53" s="102">
        <v>20</v>
      </c>
      <c r="S53" s="102">
        <v>20</v>
      </c>
      <c r="T53" s="102"/>
      <c r="U53" s="102">
        <v>30</v>
      </c>
      <c r="V53" s="102">
        <v>20</v>
      </c>
      <c r="W53" s="102"/>
      <c r="X53" s="102">
        <v>30</v>
      </c>
      <c r="Y53" s="102"/>
      <c r="Z53" s="100"/>
    </row>
    <row r="54" spans="15:26" x14ac:dyDescent="0.3">
      <c r="O54" s="101" t="s">
        <v>108</v>
      </c>
      <c r="P54" s="102"/>
      <c r="Q54" s="102"/>
      <c r="R54" s="102">
        <v>10</v>
      </c>
      <c r="S54" s="102">
        <v>10</v>
      </c>
      <c r="T54" s="102"/>
      <c r="U54" s="102">
        <v>15</v>
      </c>
      <c r="V54" s="102">
        <v>10</v>
      </c>
      <c r="W54" s="102"/>
      <c r="X54" s="102">
        <v>15</v>
      </c>
      <c r="Y54" s="102"/>
      <c r="Z54" s="100"/>
    </row>
    <row r="55" spans="15:26" x14ac:dyDescent="0.3">
      <c r="O55" s="101" t="s">
        <v>109</v>
      </c>
      <c r="P55" s="102">
        <v>0.3</v>
      </c>
      <c r="Q55" s="102">
        <v>0.3</v>
      </c>
      <c r="R55" s="102">
        <v>0.25</v>
      </c>
      <c r="S55" s="102">
        <v>0.25</v>
      </c>
      <c r="T55" s="102">
        <v>0.4</v>
      </c>
      <c r="U55" s="102">
        <v>0.4</v>
      </c>
      <c r="V55" s="102">
        <v>0.3</v>
      </c>
      <c r="W55" s="102">
        <v>0.3</v>
      </c>
      <c r="X55" s="102">
        <v>0.4</v>
      </c>
      <c r="Y55" s="102">
        <v>0.4</v>
      </c>
      <c r="Z55" s="100"/>
    </row>
    <row r="56" spans="15:26" x14ac:dyDescent="0.3">
      <c r="O56" s="101" t="s">
        <v>110</v>
      </c>
      <c r="P56" s="102">
        <v>1.25</v>
      </c>
      <c r="Q56" s="102">
        <v>0.9</v>
      </c>
      <c r="R56" s="102">
        <v>0.6</v>
      </c>
      <c r="S56" s="102">
        <v>0.8</v>
      </c>
      <c r="T56" s="102">
        <v>1</v>
      </c>
      <c r="U56" s="102">
        <v>1</v>
      </c>
      <c r="V56" s="102">
        <v>2</v>
      </c>
      <c r="W56" s="102">
        <v>0.7</v>
      </c>
      <c r="X56" s="102">
        <v>1</v>
      </c>
      <c r="Y56" s="102">
        <v>0</v>
      </c>
      <c r="Z56" s="100"/>
    </row>
    <row r="57" spans="15:26" x14ac:dyDescent="0.3"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</row>
    <row r="58" spans="15:26" x14ac:dyDescent="0.3">
      <c r="O58" s="396" t="s">
        <v>111</v>
      </c>
      <c r="P58" s="398"/>
      <c r="Q58" s="398"/>
      <c r="R58" s="398"/>
      <c r="S58" s="398"/>
      <c r="T58" s="398"/>
      <c r="U58" s="398"/>
      <c r="V58" s="397"/>
      <c r="W58" s="100"/>
      <c r="X58" s="100"/>
      <c r="Y58" s="100"/>
      <c r="Z58" s="100"/>
    </row>
    <row r="59" spans="15:26" x14ac:dyDescent="0.3">
      <c r="O59" s="399" t="s">
        <v>112</v>
      </c>
      <c r="P59" s="400"/>
      <c r="Q59" s="399" t="s">
        <v>113</v>
      </c>
      <c r="R59" s="400"/>
      <c r="S59" s="396" t="s">
        <v>114</v>
      </c>
      <c r="T59" s="398"/>
      <c r="U59" s="398"/>
      <c r="V59" s="397"/>
      <c r="W59" s="100"/>
      <c r="X59" s="100"/>
      <c r="Y59" s="100"/>
      <c r="Z59" s="100"/>
    </row>
    <row r="60" spans="15:26" x14ac:dyDescent="0.3">
      <c r="O60" s="401"/>
      <c r="P60" s="402"/>
      <c r="Q60" s="401"/>
      <c r="R60" s="402"/>
      <c r="S60" s="399" t="s">
        <v>115</v>
      </c>
      <c r="T60" s="400"/>
      <c r="U60" s="405" t="s">
        <v>116</v>
      </c>
      <c r="V60" s="405" t="s">
        <v>117</v>
      </c>
      <c r="W60" s="100"/>
      <c r="X60" s="100"/>
      <c r="Y60" s="100"/>
      <c r="Z60" s="100"/>
    </row>
    <row r="61" spans="15:26" x14ac:dyDescent="0.3">
      <c r="O61" s="403"/>
      <c r="P61" s="404"/>
      <c r="Q61" s="403"/>
      <c r="R61" s="404"/>
      <c r="S61" s="403"/>
      <c r="T61" s="404"/>
      <c r="U61" s="406"/>
      <c r="V61" s="406"/>
      <c r="W61" s="100"/>
      <c r="X61" s="100"/>
      <c r="Y61" s="100"/>
      <c r="Z61" s="100"/>
    </row>
    <row r="62" spans="15:26" x14ac:dyDescent="0.3">
      <c r="O62" s="396" t="s">
        <v>118</v>
      </c>
      <c r="P62" s="397"/>
      <c r="Q62" s="396">
        <v>15</v>
      </c>
      <c r="R62" s="397"/>
      <c r="S62" s="396">
        <v>35</v>
      </c>
      <c r="T62" s="397"/>
      <c r="U62" s="104">
        <v>26</v>
      </c>
      <c r="V62" s="102">
        <v>19</v>
      </c>
      <c r="W62" s="100"/>
      <c r="X62" s="100"/>
      <c r="Y62" s="100"/>
      <c r="Z62" s="100"/>
    </row>
    <row r="63" spans="15:26" x14ac:dyDescent="0.3">
      <c r="O63" s="396" t="s">
        <v>119</v>
      </c>
      <c r="P63" s="397"/>
      <c r="Q63" s="396">
        <v>17</v>
      </c>
      <c r="R63" s="397"/>
      <c r="S63" s="396">
        <v>43</v>
      </c>
      <c r="T63" s="397"/>
      <c r="U63" s="104">
        <v>32</v>
      </c>
      <c r="V63" s="102">
        <v>26</v>
      </c>
      <c r="W63" s="100"/>
      <c r="X63" s="100"/>
      <c r="Y63" s="100"/>
      <c r="Z63" s="100"/>
    </row>
    <row r="64" spans="15:26" x14ac:dyDescent="0.3">
      <c r="O64" s="396" t="s">
        <v>120</v>
      </c>
      <c r="P64" s="397"/>
      <c r="Q64" s="396">
        <v>19</v>
      </c>
      <c r="R64" s="397"/>
      <c r="S64" s="396">
        <v>53</v>
      </c>
      <c r="T64" s="397"/>
      <c r="U64" s="104">
        <v>38</v>
      </c>
      <c r="V64" s="102">
        <v>32</v>
      </c>
      <c r="W64" s="100"/>
      <c r="X64" s="100"/>
      <c r="Y64" s="100"/>
      <c r="Z64" s="100"/>
    </row>
    <row r="65" spans="15:26" x14ac:dyDescent="0.3">
      <c r="O65" s="396" t="s">
        <v>121</v>
      </c>
      <c r="P65" s="397"/>
      <c r="Q65" s="396">
        <v>21</v>
      </c>
      <c r="R65" s="397"/>
      <c r="S65" s="396">
        <v>65</v>
      </c>
      <c r="T65" s="397"/>
      <c r="U65" s="104">
        <v>46</v>
      </c>
      <c r="V65" s="102">
        <v>39</v>
      </c>
      <c r="W65" s="100"/>
      <c r="X65" s="100"/>
      <c r="Y65" s="100"/>
      <c r="Z65" s="100"/>
    </row>
    <row r="66" spans="15:26" x14ac:dyDescent="0.3">
      <c r="O66" s="396" t="s">
        <v>122</v>
      </c>
      <c r="P66" s="397"/>
      <c r="Q66" s="396">
        <v>25</v>
      </c>
      <c r="R66" s="397"/>
      <c r="S66" s="396">
        <v>73</v>
      </c>
      <c r="T66" s="397"/>
      <c r="U66" s="104">
        <v>53</v>
      </c>
      <c r="V66" s="102">
        <v>46</v>
      </c>
      <c r="W66" s="100"/>
      <c r="X66" s="100"/>
      <c r="Y66" s="100"/>
      <c r="Z66" s="100"/>
    </row>
    <row r="67" spans="15:26" x14ac:dyDescent="0.3">
      <c r="O67" s="396" t="s">
        <v>123</v>
      </c>
      <c r="P67" s="397"/>
      <c r="Q67" s="396">
        <v>28</v>
      </c>
      <c r="R67" s="397"/>
      <c r="S67" s="396">
        <v>91</v>
      </c>
      <c r="T67" s="397"/>
      <c r="U67" s="104">
        <v>65</v>
      </c>
      <c r="V67" s="102">
        <v>58</v>
      </c>
      <c r="W67" s="100"/>
      <c r="X67" s="100"/>
      <c r="Y67" s="100"/>
      <c r="Z67" s="100"/>
    </row>
    <row r="68" spans="15:26" x14ac:dyDescent="0.3">
      <c r="O68" s="396" t="s">
        <v>124</v>
      </c>
      <c r="P68" s="397"/>
      <c r="Q68" s="396">
        <v>32</v>
      </c>
      <c r="R68" s="397"/>
      <c r="S68" s="396">
        <v>108</v>
      </c>
      <c r="T68" s="397"/>
      <c r="U68" s="104">
        <v>75</v>
      </c>
      <c r="V68" s="102">
        <v>68</v>
      </c>
      <c r="W68" s="100"/>
      <c r="X68" s="100"/>
      <c r="Y68" s="100"/>
      <c r="Z68" s="100"/>
    </row>
    <row r="69" spans="15:26" x14ac:dyDescent="0.3">
      <c r="O69" s="396" t="s">
        <v>125</v>
      </c>
      <c r="P69" s="397"/>
      <c r="Q69" s="396">
        <v>38</v>
      </c>
      <c r="R69" s="397"/>
      <c r="S69" s="396">
        <v>129</v>
      </c>
      <c r="T69" s="397"/>
      <c r="U69" s="104">
        <v>90</v>
      </c>
      <c r="V69" s="102">
        <v>81</v>
      </c>
      <c r="W69" s="100"/>
      <c r="X69" s="100"/>
      <c r="Y69" s="100"/>
      <c r="Z69" s="100"/>
    </row>
    <row r="70" spans="15:26" x14ac:dyDescent="0.3">
      <c r="O70" s="396" t="s">
        <v>126</v>
      </c>
      <c r="P70" s="397"/>
      <c r="Q70" s="396">
        <v>46</v>
      </c>
      <c r="R70" s="397"/>
      <c r="S70" s="396">
        <v>163</v>
      </c>
      <c r="T70" s="397"/>
      <c r="U70" s="104">
        <v>113</v>
      </c>
      <c r="V70" s="102">
        <v>103</v>
      </c>
      <c r="W70" s="100"/>
      <c r="X70" s="100"/>
      <c r="Y70" s="100"/>
      <c r="Z70" s="100"/>
    </row>
    <row r="71" spans="15:26" x14ac:dyDescent="0.3">
      <c r="O71" s="396" t="s">
        <v>127</v>
      </c>
      <c r="P71" s="397"/>
      <c r="Q71" s="396">
        <v>55</v>
      </c>
      <c r="R71" s="397"/>
      <c r="S71" s="396">
        <v>199</v>
      </c>
      <c r="T71" s="397"/>
      <c r="U71" s="104">
        <v>138</v>
      </c>
      <c r="V71" s="102">
        <v>127</v>
      </c>
      <c r="W71" s="100"/>
      <c r="X71" s="100"/>
      <c r="Y71" s="100"/>
      <c r="Z71" s="100"/>
    </row>
    <row r="72" spans="15:26" x14ac:dyDescent="0.3">
      <c r="O72" s="396" t="s">
        <v>128</v>
      </c>
      <c r="P72" s="397"/>
      <c r="Q72" s="396">
        <v>63</v>
      </c>
      <c r="R72" s="397"/>
      <c r="S72" s="396">
        <v>233</v>
      </c>
      <c r="T72" s="397"/>
      <c r="U72" s="104">
        <v>161</v>
      </c>
      <c r="V72" s="102">
        <v>149</v>
      </c>
      <c r="W72" s="100"/>
      <c r="X72" s="100"/>
      <c r="Y72" s="100"/>
      <c r="Z72" s="100"/>
    </row>
    <row r="73" spans="15:26" x14ac:dyDescent="0.3">
      <c r="O73" s="396" t="s">
        <v>129</v>
      </c>
      <c r="P73" s="397"/>
      <c r="Q73" s="396">
        <v>80</v>
      </c>
      <c r="R73" s="397"/>
      <c r="S73" s="396">
        <v>299</v>
      </c>
      <c r="T73" s="397"/>
      <c r="U73" s="104">
        <v>201</v>
      </c>
      <c r="V73" s="102">
        <v>188</v>
      </c>
      <c r="W73" s="100"/>
      <c r="X73" s="100"/>
      <c r="Y73" s="100"/>
      <c r="Z73" s="100"/>
    </row>
  </sheetData>
  <mergeCells count="75">
    <mergeCell ref="S73:T73"/>
    <mergeCell ref="S68:T68"/>
    <mergeCell ref="S69:T69"/>
    <mergeCell ref="S70:T70"/>
    <mergeCell ref="S71:T71"/>
    <mergeCell ref="S72:T72"/>
    <mergeCell ref="S63:T63"/>
    <mergeCell ref="S64:T64"/>
    <mergeCell ref="S65:T65"/>
    <mergeCell ref="S66:T66"/>
    <mergeCell ref="S67:T67"/>
    <mergeCell ref="O73:P73"/>
    <mergeCell ref="Q73:R73"/>
    <mergeCell ref="O71:P71"/>
    <mergeCell ref="Q71:R71"/>
    <mergeCell ref="O72:P72"/>
    <mergeCell ref="Q72:R72"/>
    <mergeCell ref="O69:P69"/>
    <mergeCell ref="Q69:R69"/>
    <mergeCell ref="O70:P70"/>
    <mergeCell ref="Q70:R70"/>
    <mergeCell ref="O67:P67"/>
    <mergeCell ref="Q67:R67"/>
    <mergeCell ref="O68:P68"/>
    <mergeCell ref="Q68:R68"/>
    <mergeCell ref="O65:P65"/>
    <mergeCell ref="Q65:R65"/>
    <mergeCell ref="O66:P66"/>
    <mergeCell ref="Q66:R66"/>
    <mergeCell ref="O63:P63"/>
    <mergeCell ref="Q63:R63"/>
    <mergeCell ref="O64:P64"/>
    <mergeCell ref="Q64:R64"/>
    <mergeCell ref="O62:P62"/>
    <mergeCell ref="Q62:R62"/>
    <mergeCell ref="S62:T62"/>
    <mergeCell ref="R19:S19"/>
    <mergeCell ref="T19:V19"/>
    <mergeCell ref="O58:V58"/>
    <mergeCell ref="O59:P61"/>
    <mergeCell ref="Q59:R61"/>
    <mergeCell ref="S59:V59"/>
    <mergeCell ref="S60:T61"/>
    <mergeCell ref="U60:U61"/>
    <mergeCell ref="V60:V61"/>
    <mergeCell ref="T9:U9"/>
    <mergeCell ref="K26:M26"/>
    <mergeCell ref="C30:K30"/>
    <mergeCell ref="C36:C40"/>
    <mergeCell ref="R15:S15"/>
    <mergeCell ref="T15:V15"/>
    <mergeCell ref="R17:S17"/>
    <mergeCell ref="T17:V17"/>
    <mergeCell ref="R18:S18"/>
    <mergeCell ref="T18:V18"/>
    <mergeCell ref="E8:E10"/>
    <mergeCell ref="F8:F10"/>
    <mergeCell ref="G8:G10"/>
    <mergeCell ref="R16:S16"/>
    <mergeCell ref="T16:V16"/>
    <mergeCell ref="B47:G47"/>
    <mergeCell ref="D3:F3"/>
    <mergeCell ref="K3:M3"/>
    <mergeCell ref="C4:G6"/>
    <mergeCell ref="J4:N6"/>
    <mergeCell ref="C7:C10"/>
    <mergeCell ref="D7:D10"/>
    <mergeCell ref="E7:G7"/>
    <mergeCell ref="J7:J10"/>
    <mergeCell ref="K7:K10"/>
    <mergeCell ref="L7:N7"/>
    <mergeCell ref="L8:L10"/>
    <mergeCell ref="M8:M10"/>
    <mergeCell ref="N8:N10"/>
    <mergeCell ref="B43:G43"/>
  </mergeCells>
  <dataValidations disablePrompts="1" count="2">
    <dataValidation type="list" allowBlank="1" showInputMessage="1" showErrorMessage="1" sqref="T10:U10 WWB983046:WWC983046 WMF983046:WMG983046 WCJ983046:WCK983046 VSN983046:VSO983046 VIR983046:VIS983046 UYV983046:UYW983046 UOZ983046:UPA983046 UFD983046:UFE983046 TVH983046:TVI983046 TLL983046:TLM983046 TBP983046:TBQ983046 SRT983046:SRU983046 SHX983046:SHY983046 RYB983046:RYC983046 ROF983046:ROG983046 REJ983046:REK983046 QUN983046:QUO983046 QKR983046:QKS983046 QAV983046:QAW983046 PQZ983046:PRA983046 PHD983046:PHE983046 OXH983046:OXI983046 ONL983046:ONM983046 ODP983046:ODQ983046 NTT983046:NTU983046 NJX983046:NJY983046 NAB983046:NAC983046 MQF983046:MQG983046 MGJ983046:MGK983046 LWN983046:LWO983046 LMR983046:LMS983046 LCV983046:LCW983046 KSZ983046:KTA983046 KJD983046:KJE983046 JZH983046:JZI983046 JPL983046:JPM983046 JFP983046:JFQ983046 IVT983046:IVU983046 ILX983046:ILY983046 ICB983046:ICC983046 HSF983046:HSG983046 HIJ983046:HIK983046 GYN983046:GYO983046 GOR983046:GOS983046 GEV983046:GEW983046 FUZ983046:FVA983046 FLD983046:FLE983046 FBH983046:FBI983046 ERL983046:ERM983046 EHP983046:EHQ983046 DXT983046:DXU983046 DNX983046:DNY983046 DEB983046:DEC983046 CUF983046:CUG983046 CKJ983046:CKK983046 CAN983046:CAO983046 BQR983046:BQS983046 BGV983046:BGW983046 AWZ983046:AXA983046 AND983046:ANE983046 ADH983046:ADI983046 TL983046:TM983046 JP983046:JQ983046 T983046:U983046 WWB917510:WWC917510 WMF917510:WMG917510 WCJ917510:WCK917510 VSN917510:VSO917510 VIR917510:VIS917510 UYV917510:UYW917510 UOZ917510:UPA917510 UFD917510:UFE917510 TVH917510:TVI917510 TLL917510:TLM917510 TBP917510:TBQ917510 SRT917510:SRU917510 SHX917510:SHY917510 RYB917510:RYC917510 ROF917510:ROG917510 REJ917510:REK917510 QUN917510:QUO917510 QKR917510:QKS917510 QAV917510:QAW917510 PQZ917510:PRA917510 PHD917510:PHE917510 OXH917510:OXI917510 ONL917510:ONM917510 ODP917510:ODQ917510 NTT917510:NTU917510 NJX917510:NJY917510 NAB917510:NAC917510 MQF917510:MQG917510 MGJ917510:MGK917510 LWN917510:LWO917510 LMR917510:LMS917510 LCV917510:LCW917510 KSZ917510:KTA917510 KJD917510:KJE917510 JZH917510:JZI917510 JPL917510:JPM917510 JFP917510:JFQ917510 IVT917510:IVU917510 ILX917510:ILY917510 ICB917510:ICC917510 HSF917510:HSG917510 HIJ917510:HIK917510 GYN917510:GYO917510 GOR917510:GOS917510 GEV917510:GEW917510 FUZ917510:FVA917510 FLD917510:FLE917510 FBH917510:FBI917510 ERL917510:ERM917510 EHP917510:EHQ917510 DXT917510:DXU917510 DNX917510:DNY917510 DEB917510:DEC917510 CUF917510:CUG917510 CKJ917510:CKK917510 CAN917510:CAO917510 BQR917510:BQS917510 BGV917510:BGW917510 AWZ917510:AXA917510 AND917510:ANE917510 ADH917510:ADI917510 TL917510:TM917510 JP917510:JQ917510 T917510:U917510 WWB851974:WWC851974 WMF851974:WMG851974 WCJ851974:WCK851974 VSN851974:VSO851974 VIR851974:VIS851974 UYV851974:UYW851974 UOZ851974:UPA851974 UFD851974:UFE851974 TVH851974:TVI851974 TLL851974:TLM851974 TBP851974:TBQ851974 SRT851974:SRU851974 SHX851974:SHY851974 RYB851974:RYC851974 ROF851974:ROG851974 REJ851974:REK851974 QUN851974:QUO851974 QKR851974:QKS851974 QAV851974:QAW851974 PQZ851974:PRA851974 PHD851974:PHE851974 OXH851974:OXI851974 ONL851974:ONM851974 ODP851974:ODQ851974 NTT851974:NTU851974 NJX851974:NJY851974 NAB851974:NAC851974 MQF851974:MQG851974 MGJ851974:MGK851974 LWN851974:LWO851974 LMR851974:LMS851974 LCV851974:LCW851974 KSZ851974:KTA851974 KJD851974:KJE851974 JZH851974:JZI851974 JPL851974:JPM851974 JFP851974:JFQ851974 IVT851974:IVU851974 ILX851974:ILY851974 ICB851974:ICC851974 HSF851974:HSG851974 HIJ851974:HIK851974 GYN851974:GYO851974 GOR851974:GOS851974 GEV851974:GEW851974 FUZ851974:FVA851974 FLD851974:FLE851974 FBH851974:FBI851974 ERL851974:ERM851974 EHP851974:EHQ851974 DXT851974:DXU851974 DNX851974:DNY851974 DEB851974:DEC851974 CUF851974:CUG851974 CKJ851974:CKK851974 CAN851974:CAO851974 BQR851974:BQS851974 BGV851974:BGW851974 AWZ851974:AXA851974 AND851974:ANE851974 ADH851974:ADI851974 TL851974:TM851974 JP851974:JQ851974 T851974:U851974 WWB786438:WWC786438 WMF786438:WMG786438 WCJ786438:WCK786438 VSN786438:VSO786438 VIR786438:VIS786438 UYV786438:UYW786438 UOZ786438:UPA786438 UFD786438:UFE786438 TVH786438:TVI786438 TLL786438:TLM786438 TBP786438:TBQ786438 SRT786438:SRU786438 SHX786438:SHY786438 RYB786438:RYC786438 ROF786438:ROG786438 REJ786438:REK786438 QUN786438:QUO786438 QKR786438:QKS786438 QAV786438:QAW786438 PQZ786438:PRA786438 PHD786438:PHE786438 OXH786438:OXI786438 ONL786438:ONM786438 ODP786438:ODQ786438 NTT786438:NTU786438 NJX786438:NJY786438 NAB786438:NAC786438 MQF786438:MQG786438 MGJ786438:MGK786438 LWN786438:LWO786438 LMR786438:LMS786438 LCV786438:LCW786438 KSZ786438:KTA786438 KJD786438:KJE786438 JZH786438:JZI786438 JPL786438:JPM786438 JFP786438:JFQ786438 IVT786438:IVU786438 ILX786438:ILY786438 ICB786438:ICC786438 HSF786438:HSG786438 HIJ786438:HIK786438 GYN786438:GYO786438 GOR786438:GOS786438 GEV786438:GEW786438 FUZ786438:FVA786438 FLD786438:FLE786438 FBH786438:FBI786438 ERL786438:ERM786438 EHP786438:EHQ786438 DXT786438:DXU786438 DNX786438:DNY786438 DEB786438:DEC786438 CUF786438:CUG786438 CKJ786438:CKK786438 CAN786438:CAO786438 BQR786438:BQS786438 BGV786438:BGW786438 AWZ786438:AXA786438 AND786438:ANE786438 ADH786438:ADI786438 TL786438:TM786438 JP786438:JQ786438 T786438:U786438 WWB720902:WWC720902 WMF720902:WMG720902 WCJ720902:WCK720902 VSN720902:VSO720902 VIR720902:VIS720902 UYV720902:UYW720902 UOZ720902:UPA720902 UFD720902:UFE720902 TVH720902:TVI720902 TLL720902:TLM720902 TBP720902:TBQ720902 SRT720902:SRU720902 SHX720902:SHY720902 RYB720902:RYC720902 ROF720902:ROG720902 REJ720902:REK720902 QUN720902:QUO720902 QKR720902:QKS720902 QAV720902:QAW720902 PQZ720902:PRA720902 PHD720902:PHE720902 OXH720902:OXI720902 ONL720902:ONM720902 ODP720902:ODQ720902 NTT720902:NTU720902 NJX720902:NJY720902 NAB720902:NAC720902 MQF720902:MQG720902 MGJ720902:MGK720902 LWN720902:LWO720902 LMR720902:LMS720902 LCV720902:LCW720902 KSZ720902:KTA720902 KJD720902:KJE720902 JZH720902:JZI720902 JPL720902:JPM720902 JFP720902:JFQ720902 IVT720902:IVU720902 ILX720902:ILY720902 ICB720902:ICC720902 HSF720902:HSG720902 HIJ720902:HIK720902 GYN720902:GYO720902 GOR720902:GOS720902 GEV720902:GEW720902 FUZ720902:FVA720902 FLD720902:FLE720902 FBH720902:FBI720902 ERL720902:ERM720902 EHP720902:EHQ720902 DXT720902:DXU720902 DNX720902:DNY720902 DEB720902:DEC720902 CUF720902:CUG720902 CKJ720902:CKK720902 CAN720902:CAO720902 BQR720902:BQS720902 BGV720902:BGW720902 AWZ720902:AXA720902 AND720902:ANE720902 ADH720902:ADI720902 TL720902:TM720902 JP720902:JQ720902 T720902:U720902 WWB655366:WWC655366 WMF655366:WMG655366 WCJ655366:WCK655366 VSN655366:VSO655366 VIR655366:VIS655366 UYV655366:UYW655366 UOZ655366:UPA655366 UFD655366:UFE655366 TVH655366:TVI655366 TLL655366:TLM655366 TBP655366:TBQ655366 SRT655366:SRU655366 SHX655366:SHY655366 RYB655366:RYC655366 ROF655366:ROG655366 REJ655366:REK655366 QUN655366:QUO655366 QKR655366:QKS655366 QAV655366:QAW655366 PQZ655366:PRA655366 PHD655366:PHE655366 OXH655366:OXI655366 ONL655366:ONM655366 ODP655366:ODQ655366 NTT655366:NTU655366 NJX655366:NJY655366 NAB655366:NAC655366 MQF655366:MQG655366 MGJ655366:MGK655366 LWN655366:LWO655366 LMR655366:LMS655366 LCV655366:LCW655366 KSZ655366:KTA655366 KJD655366:KJE655366 JZH655366:JZI655366 JPL655366:JPM655366 JFP655366:JFQ655366 IVT655366:IVU655366 ILX655366:ILY655366 ICB655366:ICC655366 HSF655366:HSG655366 HIJ655366:HIK655366 GYN655366:GYO655366 GOR655366:GOS655366 GEV655366:GEW655366 FUZ655366:FVA655366 FLD655366:FLE655366 FBH655366:FBI655366 ERL655366:ERM655366 EHP655366:EHQ655366 DXT655366:DXU655366 DNX655366:DNY655366 DEB655366:DEC655366 CUF655366:CUG655366 CKJ655366:CKK655366 CAN655366:CAO655366 BQR655366:BQS655366 BGV655366:BGW655366 AWZ655366:AXA655366 AND655366:ANE655366 ADH655366:ADI655366 TL655366:TM655366 JP655366:JQ655366 T655366:U655366 WWB589830:WWC589830 WMF589830:WMG589830 WCJ589830:WCK589830 VSN589830:VSO589830 VIR589830:VIS589830 UYV589830:UYW589830 UOZ589830:UPA589830 UFD589830:UFE589830 TVH589830:TVI589830 TLL589830:TLM589830 TBP589830:TBQ589830 SRT589830:SRU589830 SHX589830:SHY589830 RYB589830:RYC589830 ROF589830:ROG589830 REJ589830:REK589830 QUN589830:QUO589830 QKR589830:QKS589830 QAV589830:QAW589830 PQZ589830:PRA589830 PHD589830:PHE589830 OXH589830:OXI589830 ONL589830:ONM589830 ODP589830:ODQ589830 NTT589830:NTU589830 NJX589830:NJY589830 NAB589830:NAC589830 MQF589830:MQG589830 MGJ589830:MGK589830 LWN589830:LWO589830 LMR589830:LMS589830 LCV589830:LCW589830 KSZ589830:KTA589830 KJD589830:KJE589830 JZH589830:JZI589830 JPL589830:JPM589830 JFP589830:JFQ589830 IVT589830:IVU589830 ILX589830:ILY589830 ICB589830:ICC589830 HSF589830:HSG589830 HIJ589830:HIK589830 GYN589830:GYO589830 GOR589830:GOS589830 GEV589830:GEW589830 FUZ589830:FVA589830 FLD589830:FLE589830 FBH589830:FBI589830 ERL589830:ERM589830 EHP589830:EHQ589830 DXT589830:DXU589830 DNX589830:DNY589830 DEB589830:DEC589830 CUF589830:CUG589830 CKJ589830:CKK589830 CAN589830:CAO589830 BQR589830:BQS589830 BGV589830:BGW589830 AWZ589830:AXA589830 AND589830:ANE589830 ADH589830:ADI589830 TL589830:TM589830 JP589830:JQ589830 T589830:U589830 WWB524294:WWC524294 WMF524294:WMG524294 WCJ524294:WCK524294 VSN524294:VSO524294 VIR524294:VIS524294 UYV524294:UYW524294 UOZ524294:UPA524294 UFD524294:UFE524294 TVH524294:TVI524294 TLL524294:TLM524294 TBP524294:TBQ524294 SRT524294:SRU524294 SHX524294:SHY524294 RYB524294:RYC524294 ROF524294:ROG524294 REJ524294:REK524294 QUN524294:QUO524294 QKR524294:QKS524294 QAV524294:QAW524294 PQZ524294:PRA524294 PHD524294:PHE524294 OXH524294:OXI524294 ONL524294:ONM524294 ODP524294:ODQ524294 NTT524294:NTU524294 NJX524294:NJY524294 NAB524294:NAC524294 MQF524294:MQG524294 MGJ524294:MGK524294 LWN524294:LWO524294 LMR524294:LMS524294 LCV524294:LCW524294 KSZ524294:KTA524294 KJD524294:KJE524294 JZH524294:JZI524294 JPL524294:JPM524294 JFP524294:JFQ524294 IVT524294:IVU524294 ILX524294:ILY524294 ICB524294:ICC524294 HSF524294:HSG524294 HIJ524294:HIK524294 GYN524294:GYO524294 GOR524294:GOS524294 GEV524294:GEW524294 FUZ524294:FVA524294 FLD524294:FLE524294 FBH524294:FBI524294 ERL524294:ERM524294 EHP524294:EHQ524294 DXT524294:DXU524294 DNX524294:DNY524294 DEB524294:DEC524294 CUF524294:CUG524294 CKJ524294:CKK524294 CAN524294:CAO524294 BQR524294:BQS524294 BGV524294:BGW524294 AWZ524294:AXA524294 AND524294:ANE524294 ADH524294:ADI524294 TL524294:TM524294 JP524294:JQ524294 T524294:U524294 WWB458758:WWC458758 WMF458758:WMG458758 WCJ458758:WCK458758 VSN458758:VSO458758 VIR458758:VIS458758 UYV458758:UYW458758 UOZ458758:UPA458758 UFD458758:UFE458758 TVH458758:TVI458758 TLL458758:TLM458758 TBP458758:TBQ458758 SRT458758:SRU458758 SHX458758:SHY458758 RYB458758:RYC458758 ROF458758:ROG458758 REJ458758:REK458758 QUN458758:QUO458758 QKR458758:QKS458758 QAV458758:QAW458758 PQZ458758:PRA458758 PHD458758:PHE458758 OXH458758:OXI458758 ONL458758:ONM458758 ODP458758:ODQ458758 NTT458758:NTU458758 NJX458758:NJY458758 NAB458758:NAC458758 MQF458758:MQG458758 MGJ458758:MGK458758 LWN458758:LWO458758 LMR458758:LMS458758 LCV458758:LCW458758 KSZ458758:KTA458758 KJD458758:KJE458758 JZH458758:JZI458758 JPL458758:JPM458758 JFP458758:JFQ458758 IVT458758:IVU458758 ILX458758:ILY458758 ICB458758:ICC458758 HSF458758:HSG458758 HIJ458758:HIK458758 GYN458758:GYO458758 GOR458758:GOS458758 GEV458758:GEW458758 FUZ458758:FVA458758 FLD458758:FLE458758 FBH458758:FBI458758 ERL458758:ERM458758 EHP458758:EHQ458758 DXT458758:DXU458758 DNX458758:DNY458758 DEB458758:DEC458758 CUF458758:CUG458758 CKJ458758:CKK458758 CAN458758:CAO458758 BQR458758:BQS458758 BGV458758:BGW458758 AWZ458758:AXA458758 AND458758:ANE458758 ADH458758:ADI458758 TL458758:TM458758 JP458758:JQ458758 T458758:U458758 WWB393222:WWC393222 WMF393222:WMG393222 WCJ393222:WCK393222 VSN393222:VSO393222 VIR393222:VIS393222 UYV393222:UYW393222 UOZ393222:UPA393222 UFD393222:UFE393222 TVH393222:TVI393222 TLL393222:TLM393222 TBP393222:TBQ393222 SRT393222:SRU393222 SHX393222:SHY393222 RYB393222:RYC393222 ROF393222:ROG393222 REJ393222:REK393222 QUN393222:QUO393222 QKR393222:QKS393222 QAV393222:QAW393222 PQZ393222:PRA393222 PHD393222:PHE393222 OXH393222:OXI393222 ONL393222:ONM393222 ODP393222:ODQ393222 NTT393222:NTU393222 NJX393222:NJY393222 NAB393222:NAC393222 MQF393222:MQG393222 MGJ393222:MGK393222 LWN393222:LWO393222 LMR393222:LMS393222 LCV393222:LCW393222 KSZ393222:KTA393222 KJD393222:KJE393222 JZH393222:JZI393222 JPL393222:JPM393222 JFP393222:JFQ393222 IVT393222:IVU393222 ILX393222:ILY393222 ICB393222:ICC393222 HSF393222:HSG393222 HIJ393222:HIK393222 GYN393222:GYO393222 GOR393222:GOS393222 GEV393222:GEW393222 FUZ393222:FVA393222 FLD393222:FLE393222 FBH393222:FBI393222 ERL393222:ERM393222 EHP393222:EHQ393222 DXT393222:DXU393222 DNX393222:DNY393222 DEB393222:DEC393222 CUF393222:CUG393222 CKJ393222:CKK393222 CAN393222:CAO393222 BQR393222:BQS393222 BGV393222:BGW393222 AWZ393222:AXA393222 AND393222:ANE393222 ADH393222:ADI393222 TL393222:TM393222 JP393222:JQ393222 T393222:U393222 WWB327686:WWC327686 WMF327686:WMG327686 WCJ327686:WCK327686 VSN327686:VSO327686 VIR327686:VIS327686 UYV327686:UYW327686 UOZ327686:UPA327686 UFD327686:UFE327686 TVH327686:TVI327686 TLL327686:TLM327686 TBP327686:TBQ327686 SRT327686:SRU327686 SHX327686:SHY327686 RYB327686:RYC327686 ROF327686:ROG327686 REJ327686:REK327686 QUN327686:QUO327686 QKR327686:QKS327686 QAV327686:QAW327686 PQZ327686:PRA327686 PHD327686:PHE327686 OXH327686:OXI327686 ONL327686:ONM327686 ODP327686:ODQ327686 NTT327686:NTU327686 NJX327686:NJY327686 NAB327686:NAC327686 MQF327686:MQG327686 MGJ327686:MGK327686 LWN327686:LWO327686 LMR327686:LMS327686 LCV327686:LCW327686 KSZ327686:KTA327686 KJD327686:KJE327686 JZH327686:JZI327686 JPL327686:JPM327686 JFP327686:JFQ327686 IVT327686:IVU327686 ILX327686:ILY327686 ICB327686:ICC327686 HSF327686:HSG327686 HIJ327686:HIK327686 GYN327686:GYO327686 GOR327686:GOS327686 GEV327686:GEW327686 FUZ327686:FVA327686 FLD327686:FLE327686 FBH327686:FBI327686 ERL327686:ERM327686 EHP327686:EHQ327686 DXT327686:DXU327686 DNX327686:DNY327686 DEB327686:DEC327686 CUF327686:CUG327686 CKJ327686:CKK327686 CAN327686:CAO327686 BQR327686:BQS327686 BGV327686:BGW327686 AWZ327686:AXA327686 AND327686:ANE327686 ADH327686:ADI327686 TL327686:TM327686 JP327686:JQ327686 T327686:U327686 WWB262150:WWC262150 WMF262150:WMG262150 WCJ262150:WCK262150 VSN262150:VSO262150 VIR262150:VIS262150 UYV262150:UYW262150 UOZ262150:UPA262150 UFD262150:UFE262150 TVH262150:TVI262150 TLL262150:TLM262150 TBP262150:TBQ262150 SRT262150:SRU262150 SHX262150:SHY262150 RYB262150:RYC262150 ROF262150:ROG262150 REJ262150:REK262150 QUN262150:QUO262150 QKR262150:QKS262150 QAV262150:QAW262150 PQZ262150:PRA262150 PHD262150:PHE262150 OXH262150:OXI262150 ONL262150:ONM262150 ODP262150:ODQ262150 NTT262150:NTU262150 NJX262150:NJY262150 NAB262150:NAC262150 MQF262150:MQG262150 MGJ262150:MGK262150 LWN262150:LWO262150 LMR262150:LMS262150 LCV262150:LCW262150 KSZ262150:KTA262150 KJD262150:KJE262150 JZH262150:JZI262150 JPL262150:JPM262150 JFP262150:JFQ262150 IVT262150:IVU262150 ILX262150:ILY262150 ICB262150:ICC262150 HSF262150:HSG262150 HIJ262150:HIK262150 GYN262150:GYO262150 GOR262150:GOS262150 GEV262150:GEW262150 FUZ262150:FVA262150 FLD262150:FLE262150 FBH262150:FBI262150 ERL262150:ERM262150 EHP262150:EHQ262150 DXT262150:DXU262150 DNX262150:DNY262150 DEB262150:DEC262150 CUF262150:CUG262150 CKJ262150:CKK262150 CAN262150:CAO262150 BQR262150:BQS262150 BGV262150:BGW262150 AWZ262150:AXA262150 AND262150:ANE262150 ADH262150:ADI262150 TL262150:TM262150 JP262150:JQ262150 T262150:U262150 WWB196614:WWC196614 WMF196614:WMG196614 WCJ196614:WCK196614 VSN196614:VSO196614 VIR196614:VIS196614 UYV196614:UYW196614 UOZ196614:UPA196614 UFD196614:UFE196614 TVH196614:TVI196614 TLL196614:TLM196614 TBP196614:TBQ196614 SRT196614:SRU196614 SHX196614:SHY196614 RYB196614:RYC196614 ROF196614:ROG196614 REJ196614:REK196614 QUN196614:QUO196614 QKR196614:QKS196614 QAV196614:QAW196614 PQZ196614:PRA196614 PHD196614:PHE196614 OXH196614:OXI196614 ONL196614:ONM196614 ODP196614:ODQ196614 NTT196614:NTU196614 NJX196614:NJY196614 NAB196614:NAC196614 MQF196614:MQG196614 MGJ196614:MGK196614 LWN196614:LWO196614 LMR196614:LMS196614 LCV196614:LCW196614 KSZ196614:KTA196614 KJD196614:KJE196614 JZH196614:JZI196614 JPL196614:JPM196614 JFP196614:JFQ196614 IVT196614:IVU196614 ILX196614:ILY196614 ICB196614:ICC196614 HSF196614:HSG196614 HIJ196614:HIK196614 GYN196614:GYO196614 GOR196614:GOS196614 GEV196614:GEW196614 FUZ196614:FVA196614 FLD196614:FLE196614 FBH196614:FBI196614 ERL196614:ERM196614 EHP196614:EHQ196614 DXT196614:DXU196614 DNX196614:DNY196614 DEB196614:DEC196614 CUF196614:CUG196614 CKJ196614:CKK196614 CAN196614:CAO196614 BQR196614:BQS196614 BGV196614:BGW196614 AWZ196614:AXA196614 AND196614:ANE196614 ADH196614:ADI196614 TL196614:TM196614 JP196614:JQ196614 T196614:U196614 WWB131078:WWC131078 WMF131078:WMG131078 WCJ131078:WCK131078 VSN131078:VSO131078 VIR131078:VIS131078 UYV131078:UYW131078 UOZ131078:UPA131078 UFD131078:UFE131078 TVH131078:TVI131078 TLL131078:TLM131078 TBP131078:TBQ131078 SRT131078:SRU131078 SHX131078:SHY131078 RYB131078:RYC131078 ROF131078:ROG131078 REJ131078:REK131078 QUN131078:QUO131078 QKR131078:QKS131078 QAV131078:QAW131078 PQZ131078:PRA131078 PHD131078:PHE131078 OXH131078:OXI131078 ONL131078:ONM131078 ODP131078:ODQ131078 NTT131078:NTU131078 NJX131078:NJY131078 NAB131078:NAC131078 MQF131078:MQG131078 MGJ131078:MGK131078 LWN131078:LWO131078 LMR131078:LMS131078 LCV131078:LCW131078 KSZ131078:KTA131078 KJD131078:KJE131078 JZH131078:JZI131078 JPL131078:JPM131078 JFP131078:JFQ131078 IVT131078:IVU131078 ILX131078:ILY131078 ICB131078:ICC131078 HSF131078:HSG131078 HIJ131078:HIK131078 GYN131078:GYO131078 GOR131078:GOS131078 GEV131078:GEW131078 FUZ131078:FVA131078 FLD131078:FLE131078 FBH131078:FBI131078 ERL131078:ERM131078 EHP131078:EHQ131078 DXT131078:DXU131078 DNX131078:DNY131078 DEB131078:DEC131078 CUF131078:CUG131078 CKJ131078:CKK131078 CAN131078:CAO131078 BQR131078:BQS131078 BGV131078:BGW131078 AWZ131078:AXA131078 AND131078:ANE131078 ADH131078:ADI131078 TL131078:TM131078 JP131078:JQ131078 T131078:U131078 WWB65542:WWC65542 WMF65542:WMG65542 WCJ65542:WCK65542 VSN65542:VSO65542 VIR65542:VIS65542 UYV65542:UYW65542 UOZ65542:UPA65542 UFD65542:UFE65542 TVH65542:TVI65542 TLL65542:TLM65542 TBP65542:TBQ65542 SRT65542:SRU65542 SHX65542:SHY65542 RYB65542:RYC65542 ROF65542:ROG65542 REJ65542:REK65542 QUN65542:QUO65542 QKR65542:QKS65542 QAV65542:QAW65542 PQZ65542:PRA65542 PHD65542:PHE65542 OXH65542:OXI65542 ONL65542:ONM65542 ODP65542:ODQ65542 NTT65542:NTU65542 NJX65542:NJY65542 NAB65542:NAC65542 MQF65542:MQG65542 MGJ65542:MGK65542 LWN65542:LWO65542 LMR65542:LMS65542 LCV65542:LCW65542 KSZ65542:KTA65542 KJD65542:KJE65542 JZH65542:JZI65542 JPL65542:JPM65542 JFP65542:JFQ65542 IVT65542:IVU65542 ILX65542:ILY65542 ICB65542:ICC65542 HSF65542:HSG65542 HIJ65542:HIK65542 GYN65542:GYO65542 GOR65542:GOS65542 GEV65542:GEW65542 FUZ65542:FVA65542 FLD65542:FLE65542 FBH65542:FBI65542 ERL65542:ERM65542 EHP65542:EHQ65542 DXT65542:DXU65542 DNX65542:DNY65542 DEB65542:DEC65542 CUF65542:CUG65542 CKJ65542:CKK65542 CAN65542:CAO65542 BQR65542:BQS65542 BGV65542:BGW65542 AWZ65542:AXA65542 AND65542:ANE65542 ADH65542:ADI65542 TL65542:TM65542 JP65542:JQ65542 T65542:U65542 WWB10:WWC10 WMF10:WMG10 WCJ10:WCK10 VSN10:VSO10 VIR10:VIS10 UYV10:UYW10 UOZ10:UPA10 UFD10:UFE10 TVH10:TVI10 TLL10:TLM10 TBP10:TBQ10 SRT10:SRU10 SHX10:SHY10 RYB10:RYC10 ROF10:ROG10 REJ10:REK10 QUN10:QUO10 QKR10:QKS10 QAV10:QAW10 PQZ10:PRA10 PHD10:PHE10 OXH10:OXI10 ONL10:ONM10 ODP10:ODQ10 NTT10:NTU10 NJX10:NJY10 NAB10:NAC10 MQF10:MQG10 MGJ10:MGK10 LWN10:LWO10 LMR10:LMS10 LCV10:LCW10 KSZ10:KTA10 KJD10:KJE10 JZH10:JZI10 JPL10:JPM10 JFP10:JFQ10 IVT10:IVU10 ILX10:ILY10 ICB10:ICC10 HSF10:HSG10 HIJ10:HIK10 GYN10:GYO10 GOR10:GOS10 GEV10:GEW10 FUZ10:FVA10 FLD10:FLE10 FBH10:FBI10 ERL10:ERM10 EHP10:EHQ10 DXT10:DXU10 DNX10:DNY10 DEB10:DEC10 CUF10:CUG10 CKJ10:CKK10 CAN10:CAO10 BQR10:BQS10 BGV10:BGW10 AWZ10:AXA10 AND10:ANE10 ADH10:ADI10 TL10:TM10 JP10:JQ10" xr:uid="{00000000-0002-0000-0400-000000000000}">
      <formula1>$R$5:$R$6</formula1>
    </dataValidation>
    <dataValidation type="list" allowBlank="1" showInputMessage="1" showErrorMessage="1" sqref="U7" xr:uid="{00000000-0002-0000-0400-000001000000}">
      <formula1>$P$5:$P$8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C4:U35"/>
  <sheetViews>
    <sheetView zoomScaleNormal="100" workbookViewId="0">
      <selection activeCell="M24" sqref="M24"/>
    </sheetView>
  </sheetViews>
  <sheetFormatPr defaultRowHeight="14.6" x14ac:dyDescent="0.4"/>
  <cols>
    <col min="13" max="13" width="13.69140625" customWidth="1"/>
    <col min="14" max="14" width="14.3046875" customWidth="1"/>
    <col min="15" max="15" width="11.69140625" bestFit="1" customWidth="1"/>
    <col min="16" max="16" width="17" customWidth="1"/>
    <col min="17" max="17" width="20.15234375" customWidth="1"/>
    <col min="18" max="21" width="12.3046875" bestFit="1" customWidth="1"/>
  </cols>
  <sheetData>
    <row r="4" spans="3:21" x14ac:dyDescent="0.4">
      <c r="C4" s="105" t="s">
        <v>130</v>
      </c>
      <c r="D4" s="105"/>
      <c r="E4" s="105"/>
      <c r="F4" s="105"/>
      <c r="G4" s="105"/>
      <c r="H4" s="105"/>
      <c r="I4" s="105"/>
      <c r="J4" s="105"/>
      <c r="K4" s="105"/>
      <c r="M4" s="408" t="s">
        <v>159</v>
      </c>
      <c r="N4" s="408"/>
      <c r="P4" s="409" t="s">
        <v>188</v>
      </c>
      <c r="Q4" s="410"/>
      <c r="R4" s="413" t="s">
        <v>191</v>
      </c>
      <c r="S4" s="414"/>
      <c r="T4" s="414"/>
      <c r="U4" s="415"/>
    </row>
    <row r="5" spans="3:21" x14ac:dyDescent="0.4">
      <c r="C5" s="100"/>
      <c r="D5" s="106"/>
      <c r="E5" s="106"/>
      <c r="F5" s="106"/>
      <c r="G5" s="107"/>
      <c r="H5" s="107"/>
      <c r="I5" s="107"/>
      <c r="J5" s="107"/>
      <c r="K5" s="108"/>
      <c r="M5" s="407" t="s">
        <v>182</v>
      </c>
      <c r="N5" s="407"/>
      <c r="P5" s="411"/>
      <c r="Q5" s="412"/>
      <c r="R5" s="116" t="s">
        <v>161</v>
      </c>
      <c r="S5" s="116" t="s">
        <v>162</v>
      </c>
      <c r="T5" s="116" t="s">
        <v>163</v>
      </c>
      <c r="U5" s="116" t="s">
        <v>164</v>
      </c>
    </row>
    <row r="6" spans="3:21" x14ac:dyDescent="0.4">
      <c r="C6" s="100"/>
      <c r="D6" s="425" t="s">
        <v>131</v>
      </c>
      <c r="E6" s="426"/>
      <c r="F6" s="427"/>
      <c r="G6" s="425" t="s">
        <v>132</v>
      </c>
      <c r="H6" s="427"/>
      <c r="I6" s="425" t="s">
        <v>133</v>
      </c>
      <c r="J6" s="427"/>
      <c r="K6" s="424" t="s">
        <v>152</v>
      </c>
      <c r="L6" s="108"/>
      <c r="M6" s="407"/>
      <c r="N6" s="407"/>
      <c r="P6" s="116" t="s">
        <v>189</v>
      </c>
      <c r="Q6" s="116" t="s">
        <v>190</v>
      </c>
      <c r="R6" s="116" t="s">
        <v>158</v>
      </c>
      <c r="S6" s="116" t="s">
        <v>158</v>
      </c>
      <c r="T6" s="116" t="s">
        <v>158</v>
      </c>
      <c r="U6" s="116" t="s">
        <v>158</v>
      </c>
    </row>
    <row r="7" spans="3:21" x14ac:dyDescent="0.4">
      <c r="C7" s="100"/>
      <c r="D7" s="428" t="s">
        <v>131</v>
      </c>
      <c r="E7" s="429"/>
      <c r="F7" s="430"/>
      <c r="G7" s="428" t="s">
        <v>132</v>
      </c>
      <c r="H7" s="430"/>
      <c r="I7" s="428" t="s">
        <v>132</v>
      </c>
      <c r="J7" s="430"/>
      <c r="K7" s="424"/>
      <c r="L7" s="108"/>
      <c r="M7" s="116" t="s">
        <v>157</v>
      </c>
      <c r="N7" s="116" t="s">
        <v>158</v>
      </c>
      <c r="P7" s="117">
        <v>0.5</v>
      </c>
      <c r="Q7" s="113" t="s">
        <v>160</v>
      </c>
      <c r="R7" s="126">
        <f>4.01*($P7)^2.5</f>
        <v>0.70887454813951389</v>
      </c>
      <c r="S7" s="127">
        <f>5.670996385*($P7)^2.5</f>
        <v>1.0024999999794741</v>
      </c>
      <c r="T7" s="127">
        <f>6.945523738*($P7)^2.5</f>
        <v>1.2278067335079845</v>
      </c>
      <c r="U7" s="128">
        <f>8.02*($P7)^2.5</f>
        <v>1.4177490962790278</v>
      </c>
    </row>
    <row r="8" spans="3:21" x14ac:dyDescent="0.4">
      <c r="C8" s="100"/>
      <c r="D8" s="416" t="s">
        <v>134</v>
      </c>
      <c r="E8" s="417"/>
      <c r="F8" s="418"/>
      <c r="G8" s="419">
        <v>500</v>
      </c>
      <c r="H8" s="420"/>
      <c r="I8" s="419">
        <f>G8*'ASPE DATA SHEET'!D11</f>
        <v>7500</v>
      </c>
      <c r="J8" s="420"/>
      <c r="K8" s="100"/>
      <c r="L8" s="100"/>
      <c r="M8" s="113">
        <v>0.5</v>
      </c>
      <c r="N8" s="114">
        <v>1.8</v>
      </c>
      <c r="P8" s="118">
        <v>0.75</v>
      </c>
      <c r="Q8" s="120" t="s">
        <v>165</v>
      </c>
      <c r="R8" s="129">
        <f>4.01*($P8)^2.5</f>
        <v>1.9534285514112746</v>
      </c>
      <c r="S8" s="127">
        <f>5.670996385*($P8)^2.5</f>
        <v>2.7625651504760911</v>
      </c>
      <c r="T8" s="127">
        <f>6.945523738*($P8)^2.5</f>
        <v>3.3834374998289185</v>
      </c>
      <c r="U8" s="130">
        <f>8.02*($P8)^2.5</f>
        <v>3.9068571028225492</v>
      </c>
    </row>
    <row r="9" spans="3:21" x14ac:dyDescent="0.4">
      <c r="C9" s="100"/>
      <c r="D9" s="416" t="s">
        <v>135</v>
      </c>
      <c r="E9" s="417"/>
      <c r="F9" s="418" t="s">
        <v>1</v>
      </c>
      <c r="G9" s="419">
        <v>220</v>
      </c>
      <c r="H9" s="420"/>
      <c r="I9" s="419">
        <f>G9*'ASPE DATA SHEET'!D12</f>
        <v>3740</v>
      </c>
      <c r="J9" s="420"/>
      <c r="K9" s="100"/>
      <c r="L9" s="100"/>
      <c r="M9" s="115">
        <v>0.75</v>
      </c>
      <c r="N9" s="115">
        <v>3.5</v>
      </c>
      <c r="P9" s="118">
        <v>1</v>
      </c>
      <c r="Q9" s="120" t="s">
        <v>166</v>
      </c>
      <c r="R9" s="129">
        <f t="shared" ref="R9:R24" si="0">4.01*($P9)^2.5</f>
        <v>4.01</v>
      </c>
      <c r="S9" s="127">
        <f t="shared" ref="S9:S24" si="1">5.670996385*($P9)^2.5</f>
        <v>5.6709963849999996</v>
      </c>
      <c r="T9" s="127">
        <f t="shared" ref="T9:T24" si="2">6.945523738*($P9)^2.5</f>
        <v>6.9455237380000003</v>
      </c>
      <c r="U9" s="130">
        <f t="shared" ref="U9:U24" si="3">8.02*($P9)^2.5</f>
        <v>8.02</v>
      </c>
    </row>
    <row r="10" spans="3:21" x14ac:dyDescent="0.4">
      <c r="C10" s="100"/>
      <c r="D10" s="416" t="s">
        <v>136</v>
      </c>
      <c r="E10" s="417"/>
      <c r="F10" s="418" t="s">
        <v>1</v>
      </c>
      <c r="G10" s="419">
        <v>400</v>
      </c>
      <c r="H10" s="420"/>
      <c r="I10" s="419">
        <f>G10*'ASPE DATA SHEET'!D13</f>
        <v>7600</v>
      </c>
      <c r="J10" s="420"/>
      <c r="K10" s="100"/>
      <c r="L10" s="100"/>
      <c r="M10" s="115">
        <v>1</v>
      </c>
      <c r="N10" s="115">
        <v>6.6</v>
      </c>
      <c r="P10" s="118">
        <v>1.25</v>
      </c>
      <c r="Q10" s="120" t="s">
        <v>167</v>
      </c>
      <c r="R10" s="129">
        <f t="shared" si="0"/>
        <v>7.0051817107610592</v>
      </c>
      <c r="S10" s="127">
        <f t="shared" si="1"/>
        <v>9.9068229820434119</v>
      </c>
      <c r="T10" s="127">
        <f t="shared" si="2"/>
        <v>12.133330638676906</v>
      </c>
      <c r="U10" s="130">
        <f t="shared" si="3"/>
        <v>14.010363421522118</v>
      </c>
    </row>
    <row r="11" spans="3:21" x14ac:dyDescent="0.4">
      <c r="C11" s="100"/>
      <c r="D11" s="416" t="s">
        <v>137</v>
      </c>
      <c r="E11" s="417"/>
      <c r="F11" s="418" t="s">
        <v>1</v>
      </c>
      <c r="G11" s="419">
        <v>332</v>
      </c>
      <c r="H11" s="420"/>
      <c r="I11" s="419">
        <f>G11*'ASPE DATA SHEET'!D14</f>
        <v>6972</v>
      </c>
      <c r="J11" s="420"/>
      <c r="K11" s="100"/>
      <c r="L11" s="100"/>
      <c r="M11" s="115">
        <v>1.25</v>
      </c>
      <c r="N11" s="115">
        <v>12.4</v>
      </c>
      <c r="P11" s="118">
        <v>1.5</v>
      </c>
      <c r="Q11" s="120" t="s">
        <v>168</v>
      </c>
      <c r="R11" s="129">
        <f t="shared" si="0"/>
        <v>11.050260602130614</v>
      </c>
      <c r="S11" s="127">
        <f t="shared" si="1"/>
        <v>15.627428410970232</v>
      </c>
      <c r="T11" s="127">
        <f t="shared" si="2"/>
        <v>19.139612798799089</v>
      </c>
      <c r="U11" s="130">
        <f t="shared" si="3"/>
        <v>22.100521204261227</v>
      </c>
    </row>
    <row r="12" spans="3:21" x14ac:dyDescent="0.4">
      <c r="C12" s="100"/>
      <c r="D12" s="416" t="s">
        <v>138</v>
      </c>
      <c r="E12" s="417"/>
      <c r="F12" s="418" t="s">
        <v>1</v>
      </c>
      <c r="G12" s="419">
        <v>232</v>
      </c>
      <c r="H12" s="420"/>
      <c r="I12" s="419">
        <f>G12*'ASPE DATA SHEET'!D15</f>
        <v>5800</v>
      </c>
      <c r="J12" s="420"/>
      <c r="K12" s="100"/>
      <c r="L12" s="100"/>
      <c r="M12" s="115">
        <v>1.5</v>
      </c>
      <c r="N12" s="115">
        <v>18.3</v>
      </c>
      <c r="P12" s="118">
        <v>2</v>
      </c>
      <c r="Q12" s="120" t="s">
        <v>169</v>
      </c>
      <c r="R12" s="129">
        <f t="shared" si="0"/>
        <v>22.683985540464445</v>
      </c>
      <c r="S12" s="127">
        <f t="shared" si="1"/>
        <v>32.079999999343173</v>
      </c>
      <c r="T12" s="127">
        <f t="shared" si="2"/>
        <v>39.289815472255505</v>
      </c>
      <c r="U12" s="130">
        <f t="shared" si="3"/>
        <v>45.367971080928889</v>
      </c>
    </row>
    <row r="13" spans="3:21" x14ac:dyDescent="0.4">
      <c r="C13" s="100"/>
      <c r="D13" s="416" t="s">
        <v>139</v>
      </c>
      <c r="E13" s="417"/>
      <c r="F13" s="418" t="s">
        <v>1</v>
      </c>
      <c r="G13" s="419">
        <v>220</v>
      </c>
      <c r="H13" s="420"/>
      <c r="I13" s="419">
        <f>G13*'ASPE DATA SHEET'!D16</f>
        <v>6160</v>
      </c>
      <c r="J13" s="420"/>
      <c r="K13" s="100"/>
      <c r="L13" s="100"/>
      <c r="M13" s="115">
        <v>2</v>
      </c>
      <c r="N13" s="115">
        <v>34.6</v>
      </c>
      <c r="P13" s="118">
        <v>2.5</v>
      </c>
      <c r="Q13" s="120" t="s">
        <v>170</v>
      </c>
      <c r="R13" s="129">
        <f t="shared" si="0"/>
        <v>39.627291928985002</v>
      </c>
      <c r="S13" s="127">
        <f t="shared" si="1"/>
        <v>56.041453684941054</v>
      </c>
      <c r="T13" s="127">
        <f t="shared" si="2"/>
        <v>68.636482983895561</v>
      </c>
      <c r="U13" s="130">
        <f t="shared" si="3"/>
        <v>79.254583857970005</v>
      </c>
    </row>
    <row r="14" spans="3:21" x14ac:dyDescent="0.4">
      <c r="C14" s="100"/>
      <c r="D14" s="416" t="s">
        <v>140</v>
      </c>
      <c r="E14" s="417"/>
      <c r="F14" s="418" t="s">
        <v>1</v>
      </c>
      <c r="G14" s="419">
        <v>205</v>
      </c>
      <c r="H14" s="420"/>
      <c r="I14" s="419">
        <f>G14*'ASPE DATA SHEET'!D17</f>
        <v>6560</v>
      </c>
      <c r="J14" s="420"/>
      <c r="K14" s="100"/>
      <c r="L14" s="100"/>
      <c r="M14" s="115">
        <v>2.5</v>
      </c>
      <c r="N14" s="115">
        <v>56</v>
      </c>
      <c r="P14" s="118">
        <v>3</v>
      </c>
      <c r="Q14" s="120" t="s">
        <v>171</v>
      </c>
      <c r="R14" s="129">
        <f t="shared" si="0"/>
        <v>62.509713645160801</v>
      </c>
      <c r="S14" s="127">
        <f t="shared" si="1"/>
        <v>88.402084815234929</v>
      </c>
      <c r="T14" s="127">
        <f t="shared" si="2"/>
        <v>108.26999999452541</v>
      </c>
      <c r="U14" s="130">
        <f t="shared" si="3"/>
        <v>125.0194272903216</v>
      </c>
    </row>
    <row r="15" spans="3:21" x14ac:dyDescent="0.4">
      <c r="C15" s="100"/>
      <c r="D15" s="416" t="s">
        <v>141</v>
      </c>
      <c r="E15" s="417"/>
      <c r="F15" s="418" t="s">
        <v>1</v>
      </c>
      <c r="G15" s="419">
        <v>200</v>
      </c>
      <c r="H15" s="420"/>
      <c r="I15" s="419">
        <f>G15*'ASPE DATA SHEET'!D18</f>
        <v>7600</v>
      </c>
      <c r="J15" s="420"/>
      <c r="K15" s="100"/>
      <c r="L15" s="100"/>
      <c r="M15" s="115">
        <v>3</v>
      </c>
      <c r="N15" s="115">
        <v>93</v>
      </c>
      <c r="P15" s="118">
        <v>4</v>
      </c>
      <c r="Q15" s="120" t="s">
        <v>172</v>
      </c>
      <c r="R15" s="129">
        <f t="shared" si="0"/>
        <v>128.32</v>
      </c>
      <c r="S15" s="127">
        <f t="shared" si="1"/>
        <v>181.47188431999999</v>
      </c>
      <c r="T15" s="127">
        <f t="shared" si="2"/>
        <v>222.25675961600001</v>
      </c>
      <c r="U15" s="130">
        <f t="shared" si="3"/>
        <v>256.64</v>
      </c>
    </row>
    <row r="16" spans="3:21" x14ac:dyDescent="0.4">
      <c r="C16" s="100"/>
      <c r="D16" s="416" t="s">
        <v>142</v>
      </c>
      <c r="E16" s="417"/>
      <c r="F16" s="418" t="s">
        <v>1</v>
      </c>
      <c r="G16" s="419">
        <v>100</v>
      </c>
      <c r="H16" s="420"/>
      <c r="I16" s="419">
        <f>G16*'ASPE DATA SHEET'!D19</f>
        <v>4600</v>
      </c>
      <c r="J16" s="420"/>
      <c r="K16" s="100"/>
      <c r="L16" s="100"/>
      <c r="M16" s="115">
        <v>4</v>
      </c>
      <c r="N16" s="115">
        <v>181</v>
      </c>
      <c r="P16" s="118">
        <v>5</v>
      </c>
      <c r="Q16" s="120" t="s">
        <v>173</v>
      </c>
      <c r="R16" s="129">
        <f t="shared" si="0"/>
        <v>224.16581474435387</v>
      </c>
      <c r="S16" s="127">
        <f t="shared" si="1"/>
        <v>317.01833542538913</v>
      </c>
      <c r="T16" s="127">
        <f t="shared" si="2"/>
        <v>388.26658043766093</v>
      </c>
      <c r="U16" s="130">
        <f t="shared" si="3"/>
        <v>448.33162948870773</v>
      </c>
    </row>
    <row r="17" spans="3:21" x14ac:dyDescent="0.4">
      <c r="C17" s="100"/>
      <c r="D17" s="416" t="s">
        <v>143</v>
      </c>
      <c r="E17" s="417"/>
      <c r="F17" s="418" t="s">
        <v>1</v>
      </c>
      <c r="G17" s="419">
        <v>100</v>
      </c>
      <c r="H17" s="420"/>
      <c r="I17" s="419">
        <f>G17*'ASPE DATA SHEET'!D20</f>
        <v>5500</v>
      </c>
      <c r="J17" s="420"/>
      <c r="K17" s="100"/>
      <c r="L17" s="100"/>
      <c r="M17" s="100"/>
      <c r="N17" s="100"/>
      <c r="P17" s="118">
        <v>6</v>
      </c>
      <c r="Q17" s="120" t="s">
        <v>174</v>
      </c>
      <c r="R17" s="129">
        <f t="shared" si="0"/>
        <v>353.60833926817946</v>
      </c>
      <c r="S17" s="127">
        <f t="shared" si="1"/>
        <v>500.07770915104715</v>
      </c>
      <c r="T17" s="127">
        <f t="shared" si="2"/>
        <v>612.46760956157061</v>
      </c>
      <c r="U17" s="130">
        <f t="shared" si="3"/>
        <v>707.21667853635893</v>
      </c>
    </row>
    <row r="18" spans="3:21" x14ac:dyDescent="0.4">
      <c r="C18" s="100"/>
      <c r="D18" s="416" t="s">
        <v>144</v>
      </c>
      <c r="E18" s="417"/>
      <c r="F18" s="418" t="s">
        <v>1</v>
      </c>
      <c r="G18" s="419">
        <v>130</v>
      </c>
      <c r="H18" s="420"/>
      <c r="I18" s="419">
        <f>G18*'ASPE DATA SHEET'!D21</f>
        <v>8190</v>
      </c>
      <c r="J18" s="420"/>
      <c r="K18" s="100"/>
      <c r="L18" s="100"/>
      <c r="M18" s="100"/>
      <c r="N18" s="100"/>
      <c r="P18" s="118">
        <v>8</v>
      </c>
      <c r="Q18" s="120" t="s">
        <v>175</v>
      </c>
      <c r="R18" s="129">
        <f t="shared" si="0"/>
        <v>725.887537294862</v>
      </c>
      <c r="S18" s="127">
        <f t="shared" si="1"/>
        <v>1026.5599999789813</v>
      </c>
      <c r="T18" s="127">
        <f t="shared" si="2"/>
        <v>1257.2740951121757</v>
      </c>
      <c r="U18" s="130">
        <f t="shared" si="3"/>
        <v>1451.775074589724</v>
      </c>
    </row>
    <row r="19" spans="3:21" x14ac:dyDescent="0.4">
      <c r="C19" s="100"/>
      <c r="D19" s="416" t="s">
        <v>145</v>
      </c>
      <c r="E19" s="417"/>
      <c r="F19" s="418" t="s">
        <v>1</v>
      </c>
      <c r="G19" s="419">
        <v>150</v>
      </c>
      <c r="H19" s="420"/>
      <c r="I19" s="419">
        <f>G19*'ASPE DATA SHEET'!D22</f>
        <v>12000</v>
      </c>
      <c r="J19" s="420"/>
      <c r="K19" s="100"/>
      <c r="L19" s="100"/>
      <c r="M19" s="100"/>
      <c r="N19" s="100"/>
      <c r="P19" s="118">
        <v>10</v>
      </c>
      <c r="Q19" s="120" t="s">
        <v>176</v>
      </c>
      <c r="R19" s="129">
        <f t="shared" si="0"/>
        <v>1268.0733417275212</v>
      </c>
      <c r="S19" s="127">
        <f t="shared" si="1"/>
        <v>1793.3265179181153</v>
      </c>
      <c r="T19" s="127">
        <f t="shared" si="2"/>
        <v>2196.3674554846598</v>
      </c>
      <c r="U19" s="130">
        <f t="shared" si="3"/>
        <v>2536.1466834550424</v>
      </c>
    </row>
    <row r="20" spans="3:21" x14ac:dyDescent="0.4">
      <c r="C20" s="100"/>
      <c r="D20" s="421" t="s">
        <v>146</v>
      </c>
      <c r="E20" s="422"/>
      <c r="F20" s="422"/>
      <c r="G20" s="422"/>
      <c r="H20" s="423"/>
      <c r="I20" s="123">
        <f>SUM(I8:J19)</f>
        <v>82222</v>
      </c>
      <c r="J20" s="124"/>
      <c r="K20" s="108">
        <f>I20*(2/3)</f>
        <v>54814.666666666664</v>
      </c>
      <c r="L20" s="108"/>
      <c r="M20" s="100"/>
      <c r="N20" s="100"/>
      <c r="P20" s="118">
        <v>12</v>
      </c>
      <c r="Q20" s="120" t="s">
        <v>177</v>
      </c>
      <c r="R20" s="129">
        <f t="shared" si="0"/>
        <v>2000.3108366451447</v>
      </c>
      <c r="S20" s="127">
        <f t="shared" si="1"/>
        <v>2828.8667140875164</v>
      </c>
      <c r="T20" s="127">
        <f t="shared" si="2"/>
        <v>3464.6399998248116</v>
      </c>
      <c r="U20" s="130">
        <f t="shared" si="3"/>
        <v>4000.6216732902894</v>
      </c>
    </row>
    <row r="21" spans="3:21" x14ac:dyDescent="0.4">
      <c r="C21" s="100"/>
      <c r="D21" s="106"/>
      <c r="E21" s="106"/>
      <c r="F21" s="106"/>
      <c r="G21" s="107"/>
      <c r="H21" s="107"/>
      <c r="I21" s="107"/>
      <c r="J21" s="107"/>
      <c r="K21" s="108"/>
      <c r="L21" s="108"/>
      <c r="M21" s="100"/>
      <c r="N21" s="100"/>
      <c r="P21" s="118">
        <v>14</v>
      </c>
      <c r="Q21" s="120" t="s">
        <v>178</v>
      </c>
      <c r="R21" s="129">
        <f t="shared" si="0"/>
        <v>2940.7930397088458</v>
      </c>
      <c r="S21" s="127">
        <f t="shared" si="1"/>
        <v>4158.9094008034981</v>
      </c>
      <c r="T21" s="127">
        <f t="shared" si="2"/>
        <v>5093.6029590630842</v>
      </c>
      <c r="U21" s="130">
        <f t="shared" si="3"/>
        <v>5881.5860794176915</v>
      </c>
    </row>
    <row r="22" spans="3:21" x14ac:dyDescent="0.4">
      <c r="C22" s="100" t="s">
        <v>147</v>
      </c>
      <c r="D22" s="106"/>
      <c r="E22" s="106"/>
      <c r="F22" s="106"/>
      <c r="G22" s="107"/>
      <c r="H22" s="107"/>
      <c r="I22" s="107"/>
      <c r="J22" s="107"/>
      <c r="K22" s="108"/>
      <c r="L22" s="108"/>
      <c r="M22" s="100"/>
      <c r="N22" s="100"/>
      <c r="P22" s="118">
        <v>16</v>
      </c>
      <c r="Q22" s="120" t="s">
        <v>179</v>
      </c>
      <c r="R22" s="129">
        <f t="shared" si="0"/>
        <v>4106.24</v>
      </c>
      <c r="S22" s="127">
        <f t="shared" si="1"/>
        <v>5807.1002982399996</v>
      </c>
      <c r="T22" s="127">
        <f t="shared" si="2"/>
        <v>7112.2163077120003</v>
      </c>
      <c r="U22" s="130">
        <f t="shared" si="3"/>
        <v>8212.48</v>
      </c>
    </row>
    <row r="23" spans="3:21" x14ac:dyDescent="0.4">
      <c r="C23" s="100"/>
      <c r="D23" s="106"/>
      <c r="E23" s="106"/>
      <c r="F23" s="106"/>
      <c r="G23" s="107"/>
      <c r="H23" s="107"/>
      <c r="I23" s="107"/>
      <c r="J23" s="107"/>
      <c r="K23" s="108"/>
      <c r="L23" s="108"/>
      <c r="M23" s="100"/>
      <c r="N23" s="100"/>
      <c r="P23" s="118">
        <v>18</v>
      </c>
      <c r="Q23" s="120" t="s">
        <v>180</v>
      </c>
      <c r="R23" s="129">
        <f t="shared" si="0"/>
        <v>5512.2084863328591</v>
      </c>
      <c r="S23" s="127">
        <f t="shared" si="1"/>
        <v>7795.4399998403915</v>
      </c>
      <c r="T23" s="127">
        <f t="shared" si="2"/>
        <v>9547.4251597580878</v>
      </c>
      <c r="U23" s="130">
        <f t="shared" si="3"/>
        <v>11024.416972665718</v>
      </c>
    </row>
    <row r="24" spans="3:21" x14ac:dyDescent="0.4">
      <c r="C24" s="100" t="s">
        <v>148</v>
      </c>
      <c r="D24" s="100"/>
      <c r="E24" s="100">
        <f>K20+I20</f>
        <v>137036.66666666666</v>
      </c>
      <c r="F24" s="100" t="s">
        <v>149</v>
      </c>
      <c r="G24" s="100"/>
      <c r="H24" s="100"/>
      <c r="I24" s="100"/>
      <c r="J24" s="100"/>
      <c r="K24" s="100"/>
      <c r="L24" s="100"/>
      <c r="M24" s="100"/>
      <c r="N24" s="100"/>
      <c r="P24" s="119">
        <v>20</v>
      </c>
      <c r="Q24" s="121" t="s">
        <v>181</v>
      </c>
      <c r="R24" s="131">
        <f t="shared" si="0"/>
        <v>7173.306071819321</v>
      </c>
      <c r="S24" s="132">
        <f t="shared" si="1"/>
        <v>10144.586733612448</v>
      </c>
      <c r="T24" s="132">
        <f t="shared" si="2"/>
        <v>12424.530574005146</v>
      </c>
      <c r="U24" s="133">
        <f t="shared" si="3"/>
        <v>14346.612143638642</v>
      </c>
    </row>
    <row r="25" spans="3:21" x14ac:dyDescent="0.4">
      <c r="C25" s="100" t="s">
        <v>150</v>
      </c>
      <c r="D25" s="100"/>
      <c r="E25" s="100"/>
      <c r="F25" s="100"/>
      <c r="G25" s="100"/>
      <c r="H25" s="100"/>
      <c r="I25" s="100"/>
      <c r="J25" s="100" t="s">
        <v>154</v>
      </c>
      <c r="K25" s="100"/>
      <c r="L25" s="100"/>
      <c r="M25" s="100"/>
      <c r="N25" s="100"/>
    </row>
    <row r="26" spans="3:21" x14ac:dyDescent="0.4">
      <c r="C26" s="100" t="s">
        <v>151</v>
      </c>
      <c r="D26" s="100"/>
      <c r="E26" s="110">
        <f>ROUND(E24/10000,2)</f>
        <v>13.7</v>
      </c>
      <c r="F26" s="100" t="s">
        <v>37</v>
      </c>
      <c r="G26" s="100"/>
      <c r="H26" s="100"/>
      <c r="I26" s="100"/>
      <c r="J26" s="100"/>
      <c r="K26" s="100"/>
      <c r="L26" s="100"/>
      <c r="M26" s="100"/>
      <c r="N26" s="100"/>
    </row>
    <row r="27" spans="3:21" x14ac:dyDescent="0.4">
      <c r="E27" s="111">
        <f>ROUNDUP(E26,0)</f>
        <v>14</v>
      </c>
      <c r="F27" s="100" t="s">
        <v>37</v>
      </c>
      <c r="Q27" s="83" t="s">
        <v>192</v>
      </c>
      <c r="R27" s="83"/>
      <c r="S27" s="83"/>
    </row>
    <row r="28" spans="3:21" x14ac:dyDescent="0.4">
      <c r="Q28" s="83" t="s">
        <v>198</v>
      </c>
      <c r="R28" s="83"/>
      <c r="S28" s="83"/>
    </row>
    <row r="29" spans="3:21" x14ac:dyDescent="0.4">
      <c r="Q29" s="83" t="s">
        <v>193</v>
      </c>
      <c r="R29" s="83"/>
      <c r="S29" s="83"/>
    </row>
    <row r="30" spans="3:21" x14ac:dyDescent="0.4">
      <c r="Q30" s="83" t="s">
        <v>194</v>
      </c>
      <c r="R30" s="83"/>
      <c r="S30" s="83"/>
    </row>
    <row r="31" spans="3:21" x14ac:dyDescent="0.4">
      <c r="Q31" s="83" t="s">
        <v>199</v>
      </c>
      <c r="R31" s="83"/>
      <c r="S31" s="83"/>
    </row>
    <row r="32" spans="3:21" x14ac:dyDescent="0.4">
      <c r="Q32" s="83" t="s">
        <v>195</v>
      </c>
      <c r="R32" s="83"/>
      <c r="S32" s="83"/>
    </row>
    <row r="33" spans="17:19" x14ac:dyDescent="0.4">
      <c r="Q33" s="83" t="s">
        <v>196</v>
      </c>
      <c r="R33" s="83"/>
      <c r="S33" s="83"/>
    </row>
    <row r="34" spans="17:19" x14ac:dyDescent="0.4">
      <c r="Q34" s="83" t="s">
        <v>197</v>
      </c>
      <c r="R34" s="83"/>
      <c r="S34" s="83"/>
    </row>
    <row r="35" spans="17:19" x14ac:dyDescent="0.4">
      <c r="Q35" s="134" t="s">
        <v>200</v>
      </c>
      <c r="R35" s="134"/>
    </row>
  </sheetData>
  <mergeCells count="45">
    <mergeCell ref="D6:F7"/>
    <mergeCell ref="G6:H7"/>
    <mergeCell ref="I6:J7"/>
    <mergeCell ref="D8:F8"/>
    <mergeCell ref="G8:H8"/>
    <mergeCell ref="I8:J8"/>
    <mergeCell ref="I12:J12"/>
    <mergeCell ref="D9:F9"/>
    <mergeCell ref="G9:H9"/>
    <mergeCell ref="I9:J9"/>
    <mergeCell ref="D10:F10"/>
    <mergeCell ref="G10:H10"/>
    <mergeCell ref="I10:J10"/>
    <mergeCell ref="D20:H20"/>
    <mergeCell ref="K6:K7"/>
    <mergeCell ref="D17:F17"/>
    <mergeCell ref="G17:H17"/>
    <mergeCell ref="I17:J17"/>
    <mergeCell ref="D18:F18"/>
    <mergeCell ref="G18:H18"/>
    <mergeCell ref="I18:J18"/>
    <mergeCell ref="D15:F15"/>
    <mergeCell ref="G15:H15"/>
    <mergeCell ref="I15:J15"/>
    <mergeCell ref="D16:F16"/>
    <mergeCell ref="G16:H16"/>
    <mergeCell ref="I16:J16"/>
    <mergeCell ref="D13:F13"/>
    <mergeCell ref="G13:H13"/>
    <mergeCell ref="M5:N6"/>
    <mergeCell ref="M4:N4"/>
    <mergeCell ref="P4:Q5"/>
    <mergeCell ref="R4:U4"/>
    <mergeCell ref="D19:F19"/>
    <mergeCell ref="G19:H19"/>
    <mergeCell ref="I19:J19"/>
    <mergeCell ref="I13:J13"/>
    <mergeCell ref="D14:F14"/>
    <mergeCell ref="G14:H14"/>
    <mergeCell ref="I14:J14"/>
    <mergeCell ref="D11:F11"/>
    <mergeCell ref="G11:H11"/>
    <mergeCell ref="I11:J11"/>
    <mergeCell ref="D12:F12"/>
    <mergeCell ref="G12:H1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249977111117893"/>
  </sheetPr>
  <dimension ref="A3:AG104"/>
  <sheetViews>
    <sheetView topLeftCell="A4" zoomScale="85" zoomScaleNormal="85" workbookViewId="0">
      <selection activeCell="H21" sqref="H21"/>
    </sheetView>
  </sheetViews>
  <sheetFormatPr defaultRowHeight="14.6" x14ac:dyDescent="0.4"/>
  <cols>
    <col min="3" max="3" width="8.84375" customWidth="1"/>
    <col min="4" max="4" width="14.3046875" customWidth="1"/>
    <col min="5" max="5" width="13.69140625" customWidth="1"/>
    <col min="7" max="7" width="12.3046875" customWidth="1"/>
    <col min="8" max="8" width="15" customWidth="1"/>
    <col min="9" max="9" width="18.53515625" customWidth="1"/>
    <col min="12" max="12" width="10.3046875" bestFit="1" customWidth="1"/>
    <col min="13" max="13" width="25.69140625" bestFit="1" customWidth="1"/>
    <col min="14" max="14" width="9.69140625" bestFit="1" customWidth="1"/>
    <col min="17" max="17" width="11" bestFit="1" customWidth="1"/>
    <col min="19" max="19" width="18.53515625" bestFit="1" customWidth="1"/>
    <col min="25" max="25" width="18.53515625" bestFit="1" customWidth="1"/>
  </cols>
  <sheetData>
    <row r="3" spans="3:24" ht="18.45" x14ac:dyDescent="0.5">
      <c r="S3" s="206"/>
      <c r="T3" s="206"/>
      <c r="U3" s="206"/>
      <c r="V3" s="206"/>
      <c r="W3" s="206"/>
    </row>
    <row r="4" spans="3:24" x14ac:dyDescent="0.4">
      <c r="T4" s="189"/>
      <c r="U4" s="189"/>
      <c r="V4" s="189"/>
      <c r="W4" s="207"/>
      <c r="X4" s="190"/>
    </row>
    <row r="5" spans="3:24" ht="15.9" x14ac:dyDescent="0.4">
      <c r="C5" s="431" t="s">
        <v>256</v>
      </c>
      <c r="D5" s="431"/>
      <c r="E5" s="431"/>
      <c r="F5" s="431"/>
      <c r="G5" s="431"/>
      <c r="H5" s="431"/>
      <c r="I5" s="431"/>
      <c r="T5" s="189"/>
      <c r="U5" s="189"/>
      <c r="V5" s="189"/>
      <c r="W5" s="207"/>
      <c r="X5" s="207"/>
    </row>
    <row r="6" spans="3:24" x14ac:dyDescent="0.4">
      <c r="C6" s="432" t="s">
        <v>257</v>
      </c>
      <c r="D6" s="434" t="s">
        <v>258</v>
      </c>
      <c r="E6" s="434"/>
      <c r="F6" s="434"/>
      <c r="G6" s="434" t="s">
        <v>259</v>
      </c>
      <c r="H6" s="434"/>
      <c r="I6" s="434"/>
      <c r="J6" s="435" t="s">
        <v>260</v>
      </c>
      <c r="K6" s="300" t="s">
        <v>261</v>
      </c>
      <c r="L6" s="434" t="s">
        <v>262</v>
      </c>
      <c r="M6" s="436" t="s">
        <v>263</v>
      </c>
      <c r="N6" s="434" t="s">
        <v>264</v>
      </c>
      <c r="T6" s="190"/>
      <c r="U6" s="190"/>
      <c r="V6" s="190"/>
      <c r="W6" s="190"/>
      <c r="X6" s="190"/>
    </row>
    <row r="7" spans="3:24" x14ac:dyDescent="0.4">
      <c r="C7" s="433"/>
      <c r="D7" s="208" t="s">
        <v>265</v>
      </c>
      <c r="E7" s="208" t="s">
        <v>266</v>
      </c>
      <c r="F7" s="208" t="s">
        <v>267</v>
      </c>
      <c r="G7" s="208" t="s">
        <v>265</v>
      </c>
      <c r="H7" s="208" t="s">
        <v>266</v>
      </c>
      <c r="I7" s="208" t="s">
        <v>267</v>
      </c>
      <c r="J7" s="435"/>
      <c r="K7" s="300"/>
      <c r="L7" s="434"/>
      <c r="M7" s="436"/>
      <c r="N7" s="434"/>
    </row>
    <row r="8" spans="3:24" x14ac:dyDescent="0.4">
      <c r="C8" s="209">
        <v>1</v>
      </c>
      <c r="D8" s="209">
        <v>15</v>
      </c>
      <c r="E8" s="210">
        <v>15.76</v>
      </c>
      <c r="F8" s="209">
        <v>21.3</v>
      </c>
      <c r="G8" s="209">
        <v>0</v>
      </c>
      <c r="H8" s="209">
        <v>0</v>
      </c>
      <c r="I8" s="209">
        <v>0</v>
      </c>
      <c r="J8" s="211">
        <v>0.5</v>
      </c>
      <c r="K8" s="212">
        <v>0</v>
      </c>
      <c r="L8" s="213">
        <v>0</v>
      </c>
      <c r="M8" s="214">
        <v>0</v>
      </c>
      <c r="N8" s="215">
        <v>13.3858</v>
      </c>
      <c r="R8" t="s">
        <v>268</v>
      </c>
    </row>
    <row r="9" spans="3:24" x14ac:dyDescent="0.4">
      <c r="C9" s="209">
        <v>2</v>
      </c>
      <c r="D9" s="209">
        <v>20</v>
      </c>
      <c r="E9" s="210">
        <v>20.96</v>
      </c>
      <c r="F9" s="209">
        <v>26.7</v>
      </c>
      <c r="G9" s="209">
        <v>20</v>
      </c>
      <c r="H9" s="216">
        <f>14.4</f>
        <v>14.4</v>
      </c>
      <c r="I9" s="209">
        <v>20</v>
      </c>
      <c r="J9" s="211">
        <v>0.75</v>
      </c>
      <c r="K9" s="217">
        <v>17</v>
      </c>
      <c r="L9" s="218">
        <v>14.4</v>
      </c>
      <c r="M9" s="219">
        <f>14.4</f>
        <v>14.4</v>
      </c>
      <c r="N9" s="215">
        <v>18.922999999999998</v>
      </c>
      <c r="Q9">
        <f t="shared" ref="Q9:Q21" si="0">3.14*(H9/1000)^2/4*1.5*1000</f>
        <v>0.24416640000000001</v>
      </c>
      <c r="R9">
        <v>0.52700000000000002</v>
      </c>
      <c r="S9" s="220">
        <f>R9*25.4</f>
        <v>13.3858</v>
      </c>
    </row>
    <row r="10" spans="3:24" x14ac:dyDescent="0.4">
      <c r="C10" s="209">
        <v>3</v>
      </c>
      <c r="D10" s="209">
        <v>25</v>
      </c>
      <c r="E10" s="210">
        <v>26.64</v>
      </c>
      <c r="F10" s="209">
        <v>33.4</v>
      </c>
      <c r="G10" s="209">
        <v>25</v>
      </c>
      <c r="H10" s="216">
        <v>18</v>
      </c>
      <c r="I10" s="209">
        <v>25</v>
      </c>
      <c r="J10" s="221">
        <v>1</v>
      </c>
      <c r="K10" s="217">
        <v>21.2</v>
      </c>
      <c r="L10" s="218">
        <v>20.399999999999999</v>
      </c>
      <c r="M10" s="222">
        <v>18</v>
      </c>
      <c r="N10" s="215">
        <v>25.273</v>
      </c>
      <c r="Q10">
        <f t="shared" si="0"/>
        <v>0.38150999999999996</v>
      </c>
      <c r="R10">
        <v>0.745</v>
      </c>
      <c r="S10" s="220">
        <f t="shared" ref="S10:S22" si="1">R10*25.4</f>
        <v>18.922999999999998</v>
      </c>
    </row>
    <row r="11" spans="3:24" x14ac:dyDescent="0.4">
      <c r="C11" s="209">
        <v>4</v>
      </c>
      <c r="D11" s="209">
        <v>32</v>
      </c>
      <c r="E11" s="210">
        <v>35.08</v>
      </c>
      <c r="F11" s="209">
        <v>42.2</v>
      </c>
      <c r="G11" s="209">
        <v>32</v>
      </c>
      <c r="H11" s="216">
        <v>23.2</v>
      </c>
      <c r="I11" s="209">
        <v>32</v>
      </c>
      <c r="J11" s="211">
        <v>1.25</v>
      </c>
      <c r="K11" s="217">
        <v>27.2</v>
      </c>
      <c r="L11" s="218">
        <v>26.2</v>
      </c>
      <c r="M11" s="219">
        <v>23.2</v>
      </c>
      <c r="N11" s="215">
        <v>31.623000000000001</v>
      </c>
      <c r="Q11">
        <f t="shared" si="0"/>
        <v>0.63377759999999994</v>
      </c>
      <c r="R11">
        <v>0.995</v>
      </c>
      <c r="S11" s="220">
        <f t="shared" si="1"/>
        <v>25.273</v>
      </c>
    </row>
    <row r="12" spans="3:24" x14ac:dyDescent="0.4">
      <c r="C12" s="209">
        <v>5</v>
      </c>
      <c r="D12" s="209">
        <v>40</v>
      </c>
      <c r="E12" s="210">
        <v>40.94</v>
      </c>
      <c r="F12" s="209">
        <v>48.3</v>
      </c>
      <c r="G12" s="209">
        <v>40</v>
      </c>
      <c r="H12" s="216">
        <v>29</v>
      </c>
      <c r="I12" s="209">
        <v>40</v>
      </c>
      <c r="J12" s="211">
        <v>1.5</v>
      </c>
      <c r="K12" s="217">
        <v>34</v>
      </c>
      <c r="L12" s="218">
        <v>32.6</v>
      </c>
      <c r="M12" s="219">
        <v>29</v>
      </c>
      <c r="N12" s="215">
        <v>37.617400000000004</v>
      </c>
      <c r="Q12">
        <f t="shared" si="0"/>
        <v>0.99027750000000003</v>
      </c>
      <c r="R12">
        <v>1.2450000000000001</v>
      </c>
      <c r="S12" s="220">
        <f t="shared" si="1"/>
        <v>31.623000000000001</v>
      </c>
    </row>
    <row r="13" spans="3:24" x14ac:dyDescent="0.4">
      <c r="C13" s="209">
        <v>6</v>
      </c>
      <c r="D13" s="209">
        <v>50</v>
      </c>
      <c r="E13" s="210">
        <v>52.48</v>
      </c>
      <c r="F13" s="209">
        <v>60.3</v>
      </c>
      <c r="G13" s="209">
        <v>50</v>
      </c>
      <c r="H13" s="216">
        <v>36.200000000000003</v>
      </c>
      <c r="I13" s="209">
        <v>50</v>
      </c>
      <c r="J13" s="221">
        <v>2</v>
      </c>
      <c r="K13" s="217">
        <v>42.6</v>
      </c>
      <c r="L13" s="218">
        <v>40.799999999999997</v>
      </c>
      <c r="M13" s="219">
        <v>36.200000000000003</v>
      </c>
      <c r="N13" s="215">
        <v>49.758600000000001</v>
      </c>
      <c r="Q13">
        <f t="shared" si="0"/>
        <v>1.5430431000000002</v>
      </c>
      <c r="R13">
        <v>1.4810000000000001</v>
      </c>
      <c r="S13" s="220">
        <f t="shared" si="1"/>
        <v>37.617400000000004</v>
      </c>
    </row>
    <row r="14" spans="3:24" x14ac:dyDescent="0.4">
      <c r="C14" s="209">
        <v>7</v>
      </c>
      <c r="D14" s="209">
        <v>65</v>
      </c>
      <c r="E14" s="210">
        <v>62.68</v>
      </c>
      <c r="F14" s="209">
        <v>73</v>
      </c>
      <c r="G14" s="209">
        <v>63</v>
      </c>
      <c r="H14" s="216">
        <v>45.8</v>
      </c>
      <c r="I14" s="209">
        <v>63</v>
      </c>
      <c r="J14" s="223">
        <v>2.5</v>
      </c>
      <c r="K14" s="217">
        <v>53.6</v>
      </c>
      <c r="L14" s="218">
        <v>51.4</v>
      </c>
      <c r="M14" s="219">
        <v>45.8</v>
      </c>
      <c r="N14" s="215">
        <v>61.848999999999997</v>
      </c>
      <c r="Q14">
        <f t="shared" si="0"/>
        <v>2.4699711</v>
      </c>
      <c r="R14">
        <v>1.9590000000000001</v>
      </c>
      <c r="S14" s="220">
        <f t="shared" si="1"/>
        <v>49.758600000000001</v>
      </c>
    </row>
    <row r="15" spans="3:24" x14ac:dyDescent="0.4">
      <c r="C15" s="209">
        <v>8</v>
      </c>
      <c r="D15" s="209">
        <v>75</v>
      </c>
      <c r="E15" s="210">
        <v>77.92</v>
      </c>
      <c r="F15" s="209">
        <v>88.9</v>
      </c>
      <c r="G15" s="209">
        <v>75</v>
      </c>
      <c r="H15" s="216">
        <v>54.4</v>
      </c>
      <c r="I15" s="209">
        <v>75</v>
      </c>
      <c r="J15" s="221">
        <v>3</v>
      </c>
      <c r="K15" s="217">
        <v>63.8</v>
      </c>
      <c r="L15" s="218">
        <v>61.4</v>
      </c>
      <c r="M15" s="219">
        <v>54.4</v>
      </c>
      <c r="N15" s="215">
        <v>73.837800000000001</v>
      </c>
      <c r="Q15">
        <f t="shared" si="0"/>
        <v>3.4846463999999999</v>
      </c>
      <c r="R15">
        <v>2.4350000000000001</v>
      </c>
      <c r="S15" s="220">
        <f t="shared" si="1"/>
        <v>61.848999999999997</v>
      </c>
    </row>
    <row r="16" spans="3:24" x14ac:dyDescent="0.4">
      <c r="C16" s="209">
        <v>9</v>
      </c>
      <c r="D16" s="209">
        <v>90</v>
      </c>
      <c r="E16" s="210">
        <v>90.2</v>
      </c>
      <c r="F16" s="209">
        <v>101.6</v>
      </c>
      <c r="G16" s="209">
        <v>90</v>
      </c>
      <c r="H16" s="216">
        <v>60</v>
      </c>
      <c r="I16" s="209">
        <v>90</v>
      </c>
      <c r="J16" s="223">
        <v>3.5</v>
      </c>
      <c r="K16" s="217">
        <v>76.599999999999994</v>
      </c>
      <c r="L16" s="218">
        <v>73.599999999999994</v>
      </c>
      <c r="M16" s="219">
        <v>65.400000000000006</v>
      </c>
      <c r="N16" s="215">
        <v>85.978999999999985</v>
      </c>
      <c r="Q16">
        <f t="shared" si="0"/>
        <v>4.2389999999999999</v>
      </c>
      <c r="R16">
        <v>2.907</v>
      </c>
      <c r="S16" s="220">
        <f t="shared" si="1"/>
        <v>73.837800000000001</v>
      </c>
    </row>
    <row r="17" spans="3:33" x14ac:dyDescent="0.4">
      <c r="C17" s="209">
        <v>10</v>
      </c>
      <c r="D17" s="209">
        <v>100</v>
      </c>
      <c r="E17" s="209">
        <v>102.26</v>
      </c>
      <c r="F17" s="209">
        <v>114.3</v>
      </c>
      <c r="G17" s="209">
        <v>110</v>
      </c>
      <c r="H17" s="216">
        <v>79.8</v>
      </c>
      <c r="I17" s="209">
        <v>110</v>
      </c>
      <c r="J17" s="221">
        <v>4</v>
      </c>
      <c r="K17" s="224"/>
      <c r="L17" s="218">
        <v>90</v>
      </c>
      <c r="M17" s="219">
        <v>79.8</v>
      </c>
      <c r="N17" s="215">
        <v>97.967799999999997</v>
      </c>
      <c r="Q17">
        <f t="shared" si="0"/>
        <v>7.4983670999999985</v>
      </c>
      <c r="R17">
        <v>3.3849999999999998</v>
      </c>
      <c r="S17" s="220">
        <f t="shared" si="1"/>
        <v>85.978999999999985</v>
      </c>
    </row>
    <row r="18" spans="3:33" x14ac:dyDescent="0.4">
      <c r="C18" s="209">
        <v>11</v>
      </c>
      <c r="D18" s="209">
        <v>125</v>
      </c>
      <c r="E18" s="209">
        <v>128.80000000000001</v>
      </c>
      <c r="F18" s="209">
        <v>141.30000000000001</v>
      </c>
      <c r="G18" s="209">
        <v>125</v>
      </c>
      <c r="H18" s="216">
        <v>90.8</v>
      </c>
      <c r="I18" s="209">
        <v>125</v>
      </c>
      <c r="J18" s="221">
        <v>5</v>
      </c>
      <c r="K18" s="224"/>
      <c r="L18" s="218">
        <v>102.2</v>
      </c>
      <c r="M18" s="219">
        <v>90.8</v>
      </c>
      <c r="N18" s="215">
        <v>122.04699999999998</v>
      </c>
      <c r="Q18">
        <f t="shared" si="0"/>
        <v>9.7080636000000009</v>
      </c>
      <c r="R18">
        <v>3.8570000000000002</v>
      </c>
      <c r="S18" s="220">
        <f t="shared" si="1"/>
        <v>97.967799999999997</v>
      </c>
    </row>
    <row r="19" spans="3:33" x14ac:dyDescent="0.4">
      <c r="C19" s="209">
        <v>12</v>
      </c>
      <c r="D19" s="209">
        <v>150</v>
      </c>
      <c r="E19" s="209">
        <v>154.08000000000001</v>
      </c>
      <c r="F19" s="209">
        <v>168.3</v>
      </c>
      <c r="G19" s="209">
        <v>160</v>
      </c>
      <c r="H19" s="216">
        <v>116.2</v>
      </c>
      <c r="I19" s="209">
        <v>160</v>
      </c>
      <c r="J19" s="221">
        <v>6</v>
      </c>
      <c r="K19" s="224"/>
      <c r="L19" s="218">
        <v>130.80000000000001</v>
      </c>
      <c r="M19" s="219">
        <v>116.2</v>
      </c>
      <c r="N19" s="215">
        <v>145.82139999999998</v>
      </c>
      <c r="Q19">
        <f t="shared" si="0"/>
        <v>15.899123099999999</v>
      </c>
      <c r="R19">
        <v>4.8049999999999997</v>
      </c>
      <c r="S19" s="220">
        <f t="shared" si="1"/>
        <v>122.04699999999998</v>
      </c>
    </row>
    <row r="20" spans="3:33" x14ac:dyDescent="0.4">
      <c r="C20" s="209">
        <v>13</v>
      </c>
      <c r="D20" s="209">
        <v>200</v>
      </c>
      <c r="E20" s="209">
        <v>202.74</v>
      </c>
      <c r="F20" s="209">
        <v>219.1</v>
      </c>
      <c r="G20" s="209">
        <v>200</v>
      </c>
      <c r="H20" s="216">
        <v>145.19999999999999</v>
      </c>
      <c r="I20" s="209">
        <v>200</v>
      </c>
      <c r="J20" s="221">
        <v>8</v>
      </c>
      <c r="K20" s="225"/>
      <c r="L20" s="226"/>
      <c r="M20" s="219">
        <v>145.19999999999999</v>
      </c>
      <c r="N20" s="215">
        <v>192.60819999999998</v>
      </c>
      <c r="Q20">
        <f t="shared" si="0"/>
        <v>24.825279599999998</v>
      </c>
      <c r="R20">
        <v>5.7409999999999997</v>
      </c>
      <c r="S20" s="220">
        <f t="shared" si="1"/>
        <v>145.82139999999998</v>
      </c>
    </row>
    <row r="21" spans="3:33" x14ac:dyDescent="0.4">
      <c r="C21" s="209">
        <v>14</v>
      </c>
      <c r="D21" s="209">
        <v>250</v>
      </c>
      <c r="E21" s="209">
        <v>254.46</v>
      </c>
      <c r="F21" s="209">
        <v>273</v>
      </c>
      <c r="G21" s="209">
        <v>250</v>
      </c>
      <c r="H21" s="216">
        <v>181.6</v>
      </c>
      <c r="I21" s="209">
        <v>250</v>
      </c>
      <c r="J21" s="221">
        <v>10</v>
      </c>
      <c r="K21" s="225"/>
      <c r="L21" s="226"/>
      <c r="M21" s="219">
        <v>181.6</v>
      </c>
      <c r="N21" s="215">
        <v>240.00459999999998</v>
      </c>
      <c r="Q21">
        <f t="shared" si="0"/>
        <v>38.832254400000004</v>
      </c>
      <c r="R21">
        <v>7.5830000000000002</v>
      </c>
      <c r="S21" s="220">
        <f t="shared" si="1"/>
        <v>192.60819999999998</v>
      </c>
    </row>
    <row r="22" spans="3:33" x14ac:dyDescent="0.4">
      <c r="C22" s="209">
        <v>15</v>
      </c>
      <c r="D22" s="209">
        <v>300</v>
      </c>
      <c r="E22" s="209">
        <v>303.27999999999997</v>
      </c>
      <c r="F22" s="209">
        <v>323.89999999999998</v>
      </c>
      <c r="G22" s="209">
        <v>0</v>
      </c>
      <c r="H22" s="216">
        <v>0</v>
      </c>
      <c r="I22" s="209">
        <v>0</v>
      </c>
      <c r="J22" s="210">
        <v>12</v>
      </c>
      <c r="K22" s="225"/>
      <c r="L22" s="226"/>
      <c r="M22" s="219">
        <v>0</v>
      </c>
      <c r="N22" s="227"/>
      <c r="R22">
        <v>9.4489999999999998</v>
      </c>
      <c r="S22" s="220">
        <f t="shared" si="1"/>
        <v>240.00459999999998</v>
      </c>
    </row>
    <row r="26" spans="3:33" ht="15" thickBot="1" x14ac:dyDescent="0.45"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</row>
    <row r="27" spans="3:33" ht="15" thickBot="1" x14ac:dyDescent="0.45">
      <c r="F27" s="432" t="s">
        <v>257</v>
      </c>
      <c r="G27" s="336" t="s">
        <v>259</v>
      </c>
      <c r="H27" s="336"/>
      <c r="I27" s="336"/>
      <c r="J27" s="437" t="s">
        <v>260</v>
      </c>
      <c r="L27" s="438" t="s">
        <v>269</v>
      </c>
      <c r="M27" s="440" t="s">
        <v>270</v>
      </c>
      <c r="N27" s="442" t="s">
        <v>271</v>
      </c>
      <c r="O27" s="443"/>
      <c r="P27" s="444"/>
      <c r="Q27" s="462" t="s">
        <v>272</v>
      </c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</row>
    <row r="28" spans="3:33" ht="15" thickBot="1" x14ac:dyDescent="0.45">
      <c r="F28" s="433"/>
      <c r="G28" s="229" t="s">
        <v>265</v>
      </c>
      <c r="H28" s="229" t="s">
        <v>266</v>
      </c>
      <c r="I28" s="229" t="s">
        <v>267</v>
      </c>
      <c r="J28" s="437"/>
      <c r="L28" s="439"/>
      <c r="M28" s="441"/>
      <c r="N28" s="230" t="s">
        <v>273</v>
      </c>
      <c r="O28" s="230" t="s">
        <v>274</v>
      </c>
      <c r="P28" s="230" t="s">
        <v>275</v>
      </c>
      <c r="Q28" s="463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</row>
    <row r="29" spans="3:33" x14ac:dyDescent="0.4">
      <c r="F29" s="209">
        <v>1</v>
      </c>
      <c r="G29" s="231">
        <v>0</v>
      </c>
      <c r="H29" s="209">
        <v>0</v>
      </c>
      <c r="I29" s="209">
        <v>0</v>
      </c>
      <c r="J29" s="223">
        <v>0.5</v>
      </c>
      <c r="L29" s="232" t="e">
        <f>#REF!</f>
        <v>#REF!</v>
      </c>
      <c r="M29" s="233" t="s">
        <v>276</v>
      </c>
      <c r="N29" s="231">
        <v>2.2000000000000002</v>
      </c>
      <c r="O29" s="231">
        <v>0</v>
      </c>
      <c r="P29" s="231">
        <v>2.2000000000000002</v>
      </c>
      <c r="Q29" s="234" t="e">
        <f>#REF!</f>
        <v>#REF!</v>
      </c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</row>
    <row r="30" spans="3:33" x14ac:dyDescent="0.4">
      <c r="F30" s="209">
        <v>2</v>
      </c>
      <c r="G30" s="231">
        <v>20</v>
      </c>
      <c r="H30" s="210">
        <f>14.4</f>
        <v>14.4</v>
      </c>
      <c r="I30" s="209">
        <v>20</v>
      </c>
      <c r="J30" s="223">
        <v>0.75</v>
      </c>
      <c r="L30" s="235" t="e">
        <f>#REF!</f>
        <v>#REF!</v>
      </c>
      <c r="M30" s="236" t="s">
        <v>277</v>
      </c>
      <c r="N30" s="231">
        <v>5</v>
      </c>
      <c r="O30" s="231">
        <v>0</v>
      </c>
      <c r="P30" s="231">
        <v>5</v>
      </c>
      <c r="Q30" s="237" t="e">
        <f>#REF!</f>
        <v>#REF!</v>
      </c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</row>
    <row r="31" spans="3:33" x14ac:dyDescent="0.4">
      <c r="F31" s="209">
        <v>3</v>
      </c>
      <c r="G31" s="231">
        <v>25</v>
      </c>
      <c r="H31" s="210">
        <v>18</v>
      </c>
      <c r="I31" s="209">
        <v>25</v>
      </c>
      <c r="J31" s="221">
        <v>1</v>
      </c>
      <c r="L31" s="235" t="e">
        <f>#REF!</f>
        <v>#REF!</v>
      </c>
      <c r="M31" s="238" t="s">
        <v>278</v>
      </c>
      <c r="N31" s="231">
        <v>0.5</v>
      </c>
      <c r="O31" s="231">
        <v>0.5</v>
      </c>
      <c r="P31" s="231">
        <v>0.7</v>
      </c>
      <c r="Q31" s="237" t="e">
        <f>#REF!</f>
        <v>#REF!</v>
      </c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</row>
    <row r="32" spans="3:33" x14ac:dyDescent="0.4">
      <c r="F32" s="209">
        <v>4</v>
      </c>
      <c r="G32" s="231">
        <v>32</v>
      </c>
      <c r="H32" s="210">
        <v>23.2</v>
      </c>
      <c r="I32" s="209">
        <v>32</v>
      </c>
      <c r="J32" s="223">
        <v>1.25</v>
      </c>
      <c r="L32" s="235" t="e">
        <f>#REF!</f>
        <v>#REF!</v>
      </c>
      <c r="M32" s="238" t="s">
        <v>279</v>
      </c>
      <c r="N32" s="231">
        <v>1.5</v>
      </c>
      <c r="O32" s="231">
        <v>1.5</v>
      </c>
      <c r="P32" s="231">
        <v>2</v>
      </c>
      <c r="Q32" s="237" t="e">
        <f>#REF!</f>
        <v>#REF!</v>
      </c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</row>
    <row r="33" spans="4:33" x14ac:dyDescent="0.4">
      <c r="F33" s="209">
        <v>5</v>
      </c>
      <c r="G33" s="231">
        <v>40</v>
      </c>
      <c r="H33" s="210">
        <v>29</v>
      </c>
      <c r="I33" s="209">
        <v>40</v>
      </c>
      <c r="J33" s="223">
        <v>1.5</v>
      </c>
      <c r="L33" s="235" t="e">
        <f>#REF!</f>
        <v>#REF!</v>
      </c>
      <c r="M33" s="236" t="s">
        <v>280</v>
      </c>
      <c r="N33" s="231">
        <v>2.25</v>
      </c>
      <c r="O33" s="231">
        <v>2.25</v>
      </c>
      <c r="P33" s="231">
        <v>3</v>
      </c>
      <c r="Q33" s="237" t="e">
        <f>#REF!</f>
        <v>#REF!</v>
      </c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</row>
    <row r="34" spans="4:33" x14ac:dyDescent="0.4">
      <c r="F34" s="209">
        <v>6</v>
      </c>
      <c r="G34" s="231">
        <v>50</v>
      </c>
      <c r="H34" s="210">
        <v>36.200000000000003</v>
      </c>
      <c r="I34" s="209">
        <v>50</v>
      </c>
      <c r="J34" s="221">
        <v>2</v>
      </c>
      <c r="L34" s="235" t="e">
        <f>#REF!</f>
        <v>#REF!</v>
      </c>
      <c r="M34" s="236" t="s">
        <v>281</v>
      </c>
      <c r="N34" s="231">
        <v>3</v>
      </c>
      <c r="O34" s="231">
        <v>3</v>
      </c>
      <c r="P34" s="231">
        <v>4</v>
      </c>
      <c r="Q34" s="237" t="e">
        <f>#REF!</f>
        <v>#REF!</v>
      </c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</row>
    <row r="35" spans="4:33" x14ac:dyDescent="0.4">
      <c r="F35" s="209">
        <v>7</v>
      </c>
      <c r="G35" s="231">
        <v>63</v>
      </c>
      <c r="H35" s="210">
        <v>45.8</v>
      </c>
      <c r="I35" s="209">
        <v>63</v>
      </c>
      <c r="J35" s="223">
        <v>2.5</v>
      </c>
      <c r="L35" s="235" t="e">
        <f>#REF!</f>
        <v>#REF!</v>
      </c>
      <c r="M35" s="238" t="s">
        <v>282</v>
      </c>
      <c r="N35" s="231">
        <v>1.5</v>
      </c>
      <c r="O35" s="231">
        <v>1.5</v>
      </c>
      <c r="P35" s="231">
        <v>2</v>
      </c>
      <c r="Q35" s="237" t="e">
        <f>#REF!</f>
        <v>#REF!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</row>
    <row r="36" spans="4:33" x14ac:dyDescent="0.4">
      <c r="F36" s="209">
        <v>8</v>
      </c>
      <c r="G36" s="231">
        <v>75</v>
      </c>
      <c r="H36" s="210">
        <v>54.4</v>
      </c>
      <c r="I36" s="209">
        <v>75</v>
      </c>
      <c r="J36" s="221">
        <v>3</v>
      </c>
      <c r="L36" s="235" t="e">
        <f>#REF!</f>
        <v>#REF!</v>
      </c>
      <c r="M36" s="238" t="s">
        <v>283</v>
      </c>
      <c r="N36" s="231">
        <v>1.5</v>
      </c>
      <c r="O36" s="231">
        <v>1.5</v>
      </c>
      <c r="P36" s="231">
        <v>2</v>
      </c>
      <c r="Q36" s="237" t="e">
        <f>#REF!</f>
        <v>#REF!</v>
      </c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</row>
    <row r="37" spans="4:33" ht="15" thickBot="1" x14ac:dyDescent="0.45">
      <c r="F37" s="209">
        <v>9</v>
      </c>
      <c r="G37" s="231">
        <v>90</v>
      </c>
      <c r="H37" s="210">
        <v>60</v>
      </c>
      <c r="I37" s="209">
        <v>90</v>
      </c>
      <c r="J37" s="223">
        <v>3.5</v>
      </c>
      <c r="L37" s="239" t="e">
        <f>#REF!</f>
        <v>#REF!</v>
      </c>
      <c r="M37" s="240" t="s">
        <v>284</v>
      </c>
      <c r="N37" s="241">
        <v>2.5</v>
      </c>
      <c r="O37" s="241">
        <v>0</v>
      </c>
      <c r="P37" s="241">
        <v>0</v>
      </c>
      <c r="Q37" s="242" t="e">
        <f>#REF!</f>
        <v>#REF!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</row>
    <row r="38" spans="4:33" ht="15" thickBot="1" x14ac:dyDescent="0.45">
      <c r="F38" s="209">
        <v>10</v>
      </c>
      <c r="G38" s="231">
        <v>110</v>
      </c>
      <c r="H38" s="209">
        <v>79.8</v>
      </c>
      <c r="I38" s="209">
        <v>110</v>
      </c>
      <c r="J38" s="221">
        <v>4</v>
      </c>
      <c r="L38" s="239" t="e">
        <f>#REF!</f>
        <v>#REF!</v>
      </c>
      <c r="M38" s="240" t="s">
        <v>285</v>
      </c>
      <c r="N38" s="241">
        <v>1</v>
      </c>
      <c r="O38" s="241">
        <v>0</v>
      </c>
      <c r="P38" s="241">
        <v>0</v>
      </c>
      <c r="Q38" s="242" t="e">
        <f>#REF!</f>
        <v>#REF!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</row>
    <row r="39" spans="4:33" x14ac:dyDescent="0.4">
      <c r="F39" s="209">
        <v>11</v>
      </c>
      <c r="G39" s="231">
        <v>125</v>
      </c>
      <c r="H39" s="209">
        <v>90.8</v>
      </c>
      <c r="I39" s="209">
        <v>125</v>
      </c>
      <c r="J39" s="221">
        <v>5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</row>
    <row r="40" spans="4:33" x14ac:dyDescent="0.4">
      <c r="F40" s="209">
        <v>12</v>
      </c>
      <c r="G40" s="231">
        <v>160</v>
      </c>
      <c r="H40" s="209">
        <v>116.2</v>
      </c>
      <c r="I40" s="209">
        <v>160</v>
      </c>
      <c r="J40" s="221">
        <v>6</v>
      </c>
      <c r="M40" s="243" t="s">
        <v>286</v>
      </c>
      <c r="N40" s="244"/>
      <c r="O40" s="170"/>
      <c r="P40" s="244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</row>
    <row r="41" spans="4:33" x14ac:dyDescent="0.4">
      <c r="F41" s="209">
        <v>13</v>
      </c>
      <c r="G41" s="231">
        <v>200</v>
      </c>
      <c r="H41" s="209">
        <v>145.19999999999999</v>
      </c>
      <c r="I41" s="209">
        <v>200</v>
      </c>
      <c r="J41" s="221">
        <v>8</v>
      </c>
      <c r="M41" s="245" t="s">
        <v>287</v>
      </c>
      <c r="N41" s="244"/>
      <c r="O41" s="244"/>
      <c r="P41" s="244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</row>
    <row r="42" spans="4:33" x14ac:dyDescent="0.4">
      <c r="F42" s="209">
        <v>14</v>
      </c>
      <c r="G42" s="231">
        <v>250</v>
      </c>
      <c r="H42" s="209">
        <v>181.6</v>
      </c>
      <c r="I42" s="209">
        <v>250</v>
      </c>
      <c r="J42" s="221">
        <v>10</v>
      </c>
      <c r="L42" s="190"/>
      <c r="M42" s="246" t="s">
        <v>288</v>
      </c>
      <c r="N42" s="246" t="s">
        <v>289</v>
      </c>
      <c r="O42" s="246" t="s">
        <v>290</v>
      </c>
      <c r="P42" s="246" t="s">
        <v>291</v>
      </c>
      <c r="Q42" s="189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</row>
    <row r="43" spans="4:33" x14ac:dyDescent="0.4">
      <c r="F43" s="59"/>
      <c r="G43" s="59"/>
      <c r="H43" s="59"/>
      <c r="I43" s="59"/>
      <c r="J43" s="202"/>
      <c r="L43" s="201"/>
      <c r="M43" s="246" t="s">
        <v>292</v>
      </c>
      <c r="N43" s="246" t="s">
        <v>293</v>
      </c>
      <c r="O43" s="246" t="s">
        <v>293</v>
      </c>
      <c r="P43" s="246" t="s">
        <v>293</v>
      </c>
      <c r="Q43" s="171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</row>
    <row r="44" spans="4:33" x14ac:dyDescent="0.4">
      <c r="L44" s="201"/>
      <c r="M44" s="246" t="s">
        <v>294</v>
      </c>
      <c r="N44" s="246">
        <v>0.5</v>
      </c>
      <c r="O44" s="246">
        <v>0.5</v>
      </c>
      <c r="P44" s="246">
        <v>0.75</v>
      </c>
      <c r="Q44" s="171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</row>
    <row r="45" spans="4:33" x14ac:dyDescent="0.4">
      <c r="L45" s="201"/>
      <c r="M45" s="246" t="s">
        <v>295</v>
      </c>
      <c r="N45" s="246">
        <v>1.5</v>
      </c>
      <c r="O45" s="246">
        <v>1.5</v>
      </c>
      <c r="P45" s="246">
        <v>2</v>
      </c>
      <c r="Q45" s="171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</row>
    <row r="46" spans="4:33" ht="32.15" x14ac:dyDescent="0.4">
      <c r="D46" s="247" t="s">
        <v>296</v>
      </c>
      <c r="E46" s="248" t="s">
        <v>297</v>
      </c>
      <c r="F46" s="248" t="s">
        <v>297</v>
      </c>
      <c r="G46" s="249" t="s">
        <v>298</v>
      </c>
      <c r="L46" s="201"/>
      <c r="M46" s="246" t="s">
        <v>299</v>
      </c>
      <c r="N46" s="246">
        <v>2</v>
      </c>
      <c r="O46" s="246">
        <v>0</v>
      </c>
      <c r="P46" s="246">
        <v>2</v>
      </c>
      <c r="Q46" s="171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</row>
    <row r="47" spans="4:33" ht="22.75" x14ac:dyDescent="0.4">
      <c r="D47" s="250" t="s">
        <v>300</v>
      </c>
      <c r="E47" s="251" t="s">
        <v>301</v>
      </c>
      <c r="F47" s="251">
        <v>0.5</v>
      </c>
      <c r="G47" s="251">
        <v>15</v>
      </c>
      <c r="L47" s="201"/>
      <c r="M47" s="246" t="s">
        <v>302</v>
      </c>
      <c r="N47" s="246">
        <v>1</v>
      </c>
      <c r="O47" s="246">
        <v>1</v>
      </c>
      <c r="P47" s="246">
        <v>1.4</v>
      </c>
      <c r="Q47" s="171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</row>
    <row r="48" spans="4:33" ht="22.75" x14ac:dyDescent="0.4">
      <c r="D48" s="250" t="s">
        <v>303</v>
      </c>
      <c r="E48" s="251" t="s">
        <v>301</v>
      </c>
      <c r="F48" s="251">
        <v>0.5</v>
      </c>
      <c r="G48" s="251">
        <v>15</v>
      </c>
      <c r="L48" s="201"/>
      <c r="M48" s="246" t="s">
        <v>304</v>
      </c>
      <c r="N48" s="246">
        <v>3</v>
      </c>
      <c r="O48" s="246">
        <v>3</v>
      </c>
      <c r="P48" s="246">
        <v>4</v>
      </c>
      <c r="Q48" s="171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</row>
    <row r="49" spans="4:33" x14ac:dyDescent="0.4">
      <c r="D49" s="250" t="s">
        <v>305</v>
      </c>
      <c r="E49" s="251" t="s">
        <v>306</v>
      </c>
      <c r="F49" s="251">
        <v>0.375</v>
      </c>
      <c r="G49" s="251">
        <v>12</v>
      </c>
      <c r="L49" s="252"/>
      <c r="M49" s="246" t="s">
        <v>307</v>
      </c>
      <c r="N49" s="246">
        <v>2.25</v>
      </c>
      <c r="O49" s="246">
        <v>2.25</v>
      </c>
      <c r="P49" s="246">
        <v>3</v>
      </c>
      <c r="Q49" s="1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</row>
    <row r="50" spans="4:33" ht="21.45" x14ac:dyDescent="0.4">
      <c r="D50" s="253" t="s">
        <v>308</v>
      </c>
      <c r="E50" s="251" t="s">
        <v>301</v>
      </c>
      <c r="F50" s="251">
        <v>0.5</v>
      </c>
      <c r="G50" s="251">
        <v>15</v>
      </c>
      <c r="L50" s="252"/>
      <c r="M50" s="246" t="s">
        <v>309</v>
      </c>
      <c r="N50" s="246">
        <v>2.5</v>
      </c>
      <c r="O50" s="246">
        <v>0</v>
      </c>
      <c r="P50" s="246">
        <v>2.5</v>
      </c>
      <c r="Q50" s="1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</row>
    <row r="51" spans="4:33" ht="15" thickBot="1" x14ac:dyDescent="0.45">
      <c r="D51" s="254" t="s">
        <v>310</v>
      </c>
      <c r="E51" s="251" t="s">
        <v>301</v>
      </c>
      <c r="F51" s="251">
        <v>0.5</v>
      </c>
      <c r="G51" s="251">
        <v>15</v>
      </c>
      <c r="L51" s="1"/>
      <c r="M51" s="255" t="s">
        <v>311</v>
      </c>
      <c r="N51" s="255">
        <v>1</v>
      </c>
      <c r="O51" s="255">
        <v>0</v>
      </c>
      <c r="P51" s="255">
        <v>1</v>
      </c>
      <c r="Q51" s="1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</row>
    <row r="52" spans="4:33" x14ac:dyDescent="0.4">
      <c r="D52" s="250" t="s">
        <v>312</v>
      </c>
      <c r="E52" s="251" t="s">
        <v>306</v>
      </c>
      <c r="F52" s="251">
        <v>0.375</v>
      </c>
      <c r="G52" s="251">
        <v>12</v>
      </c>
      <c r="L52" s="1"/>
      <c r="M52" s="256" t="s">
        <v>313</v>
      </c>
      <c r="N52" s="257">
        <v>1</v>
      </c>
      <c r="O52" s="257">
        <v>1</v>
      </c>
      <c r="P52" s="257">
        <v>1.4</v>
      </c>
      <c r="Q52" s="464" t="s">
        <v>314</v>
      </c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</row>
    <row r="53" spans="4:33" ht="15" thickBot="1" x14ac:dyDescent="0.45">
      <c r="D53" s="250" t="s">
        <v>315</v>
      </c>
      <c r="E53" s="251" t="s">
        <v>301</v>
      </c>
      <c r="F53" s="251">
        <v>0.5</v>
      </c>
      <c r="G53" s="251">
        <v>15</v>
      </c>
      <c r="I53" s="236" t="s">
        <v>316</v>
      </c>
      <c r="J53" s="231">
        <v>3</v>
      </c>
      <c r="K53" s="231">
        <v>3</v>
      </c>
      <c r="L53" s="231">
        <v>4</v>
      </c>
      <c r="M53" s="258" t="s">
        <v>317</v>
      </c>
      <c r="N53" s="259">
        <v>3</v>
      </c>
      <c r="O53" s="259">
        <v>3</v>
      </c>
      <c r="P53" s="259">
        <v>4</v>
      </c>
      <c r="Q53" s="465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</row>
    <row r="54" spans="4:33" x14ac:dyDescent="0.4">
      <c r="D54" s="250" t="s">
        <v>318</v>
      </c>
      <c r="E54" s="251" t="s">
        <v>301</v>
      </c>
      <c r="F54" s="251">
        <v>0.5</v>
      </c>
      <c r="G54" s="251">
        <v>15</v>
      </c>
      <c r="L54" s="260"/>
      <c r="M54" s="261" t="s">
        <v>319</v>
      </c>
      <c r="N54" s="261">
        <v>1.5</v>
      </c>
      <c r="O54" s="261">
        <v>0</v>
      </c>
      <c r="P54" s="261">
        <v>1.5</v>
      </c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</row>
    <row r="55" spans="4:33" ht="22.75" x14ac:dyDescent="0.4">
      <c r="D55" s="250" t="s">
        <v>320</v>
      </c>
      <c r="E55" s="251" t="s">
        <v>301</v>
      </c>
      <c r="F55" s="251">
        <v>0.5</v>
      </c>
      <c r="G55" s="251">
        <v>15</v>
      </c>
      <c r="L55" s="260"/>
      <c r="M55" s="246" t="s">
        <v>316</v>
      </c>
      <c r="N55" s="246">
        <v>1.5</v>
      </c>
      <c r="O55" s="246">
        <v>1.5</v>
      </c>
      <c r="P55" s="246">
        <v>2</v>
      </c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</row>
    <row r="56" spans="4:33" ht="15" thickBot="1" x14ac:dyDescent="0.45">
      <c r="D56" s="253" t="s">
        <v>321</v>
      </c>
      <c r="E56" s="251" t="s">
        <v>306</v>
      </c>
      <c r="F56" s="251">
        <v>0.375</v>
      </c>
      <c r="G56" s="251">
        <v>12</v>
      </c>
      <c r="M56" s="255" t="s">
        <v>322</v>
      </c>
      <c r="N56" s="255">
        <v>1.5</v>
      </c>
      <c r="O56" s="255"/>
      <c r="P56" s="255">
        <v>1.5</v>
      </c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</row>
    <row r="57" spans="4:33" x14ac:dyDescent="0.4">
      <c r="D57" s="262" t="s">
        <v>323</v>
      </c>
      <c r="E57" s="251" t="s">
        <v>301</v>
      </c>
      <c r="F57" s="251">
        <v>0.5</v>
      </c>
      <c r="G57" s="251">
        <v>15</v>
      </c>
      <c r="M57" s="263" t="s">
        <v>324</v>
      </c>
      <c r="N57" s="264">
        <v>1.5</v>
      </c>
      <c r="O57" s="264">
        <v>1.5</v>
      </c>
      <c r="P57" s="264">
        <v>2</v>
      </c>
      <c r="Q57" s="464" t="s">
        <v>325</v>
      </c>
    </row>
    <row r="58" spans="4:33" ht="15" thickBot="1" x14ac:dyDescent="0.45">
      <c r="D58" s="253" t="s">
        <v>326</v>
      </c>
      <c r="E58" s="251" t="s">
        <v>327</v>
      </c>
      <c r="F58" s="251">
        <v>0.75</v>
      </c>
      <c r="G58" s="251">
        <v>20</v>
      </c>
      <c r="M58" s="265" t="s">
        <v>328</v>
      </c>
      <c r="N58" s="266">
        <v>3</v>
      </c>
      <c r="O58" s="266">
        <v>3</v>
      </c>
      <c r="P58" s="266">
        <v>4</v>
      </c>
      <c r="Q58" s="465"/>
    </row>
    <row r="59" spans="4:33" x14ac:dyDescent="0.4">
      <c r="D59" s="262" t="s">
        <v>329</v>
      </c>
      <c r="E59" s="251" t="s">
        <v>301</v>
      </c>
      <c r="F59" s="251">
        <v>0.5</v>
      </c>
      <c r="G59" s="251">
        <v>15</v>
      </c>
    </row>
    <row r="60" spans="4:33" x14ac:dyDescent="0.4">
      <c r="D60" s="250" t="s">
        <v>330</v>
      </c>
      <c r="E60" s="251" t="s">
        <v>301</v>
      </c>
      <c r="F60" s="251">
        <v>0.5</v>
      </c>
      <c r="G60" s="251">
        <v>15</v>
      </c>
      <c r="M60" t="s">
        <v>331</v>
      </c>
      <c r="N60" t="s">
        <v>332</v>
      </c>
      <c r="O60" s="466" t="s">
        <v>333</v>
      </c>
    </row>
    <row r="61" spans="4:33" x14ac:dyDescent="0.4">
      <c r="D61" s="250" t="s">
        <v>334</v>
      </c>
      <c r="E61" s="251" t="s">
        <v>327</v>
      </c>
      <c r="F61" s="251">
        <v>0.75</v>
      </c>
      <c r="G61" s="251">
        <v>20</v>
      </c>
      <c r="M61" t="s">
        <v>335</v>
      </c>
      <c r="N61" t="s">
        <v>336</v>
      </c>
      <c r="O61" s="466"/>
    </row>
    <row r="62" spans="4:33" x14ac:dyDescent="0.4">
      <c r="D62" s="253" t="s">
        <v>337</v>
      </c>
      <c r="E62" s="251" t="s">
        <v>301</v>
      </c>
      <c r="F62" s="251">
        <v>0.5</v>
      </c>
      <c r="G62" s="251">
        <v>15</v>
      </c>
    </row>
    <row r="63" spans="4:33" ht="21.45" x14ac:dyDescent="0.4">
      <c r="D63" s="267" t="s">
        <v>338</v>
      </c>
      <c r="E63" s="251" t="s">
        <v>306</v>
      </c>
      <c r="F63" s="251">
        <v>0.375</v>
      </c>
      <c r="G63" s="251">
        <v>12</v>
      </c>
      <c r="M63" s="246" t="s">
        <v>339</v>
      </c>
      <c r="N63" s="246">
        <v>0.25</v>
      </c>
      <c r="O63" s="246">
        <v>0</v>
      </c>
      <c r="P63" s="246">
        <v>0.25</v>
      </c>
    </row>
    <row r="64" spans="4:33" ht="21.45" x14ac:dyDescent="0.4">
      <c r="D64" s="268" t="s">
        <v>340</v>
      </c>
      <c r="E64" s="269">
        <v>1</v>
      </c>
      <c r="F64" s="269">
        <v>1</v>
      </c>
      <c r="G64" s="269">
        <v>25</v>
      </c>
      <c r="M64" s="246" t="s">
        <v>341</v>
      </c>
      <c r="N64" s="246">
        <v>2</v>
      </c>
      <c r="O64" s="246">
        <v>0</v>
      </c>
      <c r="P64" s="246">
        <v>2</v>
      </c>
    </row>
    <row r="65" spans="1:18" ht="21.45" x14ac:dyDescent="0.4">
      <c r="D65" s="268" t="s">
        <v>342</v>
      </c>
      <c r="E65" s="251" t="s">
        <v>306</v>
      </c>
      <c r="F65" s="251">
        <v>0.375</v>
      </c>
      <c r="G65" s="251">
        <v>12</v>
      </c>
    </row>
    <row r="66" spans="1:18" ht="21.45" x14ac:dyDescent="0.4">
      <c r="D66" s="270" t="s">
        <v>343</v>
      </c>
      <c r="E66" s="251" t="s">
        <v>301</v>
      </c>
      <c r="F66" s="251">
        <v>0.5</v>
      </c>
      <c r="G66" s="251">
        <v>15</v>
      </c>
    </row>
    <row r="70" spans="1:18" x14ac:dyDescent="0.4">
      <c r="A70" s="467"/>
      <c r="B70" s="467"/>
      <c r="C70" s="467"/>
      <c r="D70" s="467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7"/>
      <c r="Q70" s="467"/>
      <c r="R70" s="467"/>
    </row>
    <row r="71" spans="1:18" ht="35.5" customHeight="1" x14ac:dyDescent="0.4">
      <c r="A71" s="468" t="s">
        <v>344</v>
      </c>
      <c r="B71" s="468"/>
      <c r="C71" s="468"/>
      <c r="D71" s="468"/>
      <c r="E71" s="468"/>
      <c r="F71" s="468"/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</row>
    <row r="72" spans="1:18" x14ac:dyDescent="0.4">
      <c r="A72" s="445" t="s">
        <v>345</v>
      </c>
      <c r="B72" s="446"/>
      <c r="C72" s="447"/>
      <c r="D72" s="451" t="s">
        <v>346</v>
      </c>
      <c r="E72" s="452"/>
      <c r="F72" s="452"/>
      <c r="G72" s="452"/>
      <c r="H72" s="452"/>
      <c r="I72" s="452"/>
      <c r="J72" s="452"/>
      <c r="K72" s="452"/>
      <c r="L72" s="452"/>
      <c r="M72" s="452"/>
      <c r="N72" s="452"/>
      <c r="O72" s="452"/>
      <c r="P72" s="452"/>
      <c r="Q72" s="453"/>
      <c r="R72" s="271"/>
    </row>
    <row r="73" spans="1:18" x14ac:dyDescent="0.4">
      <c r="A73" s="448"/>
      <c r="B73" s="449"/>
      <c r="C73" s="450"/>
      <c r="D73" s="454" t="s">
        <v>347</v>
      </c>
      <c r="E73" s="455"/>
      <c r="F73" s="456" t="s">
        <v>348</v>
      </c>
      <c r="G73" s="457"/>
      <c r="H73" s="458">
        <v>1</v>
      </c>
      <c r="I73" s="459"/>
      <c r="J73" s="456" t="s">
        <v>349</v>
      </c>
      <c r="K73" s="457"/>
      <c r="L73" s="456" t="s">
        <v>350</v>
      </c>
      <c r="M73" s="457"/>
      <c r="N73" s="460">
        <v>2</v>
      </c>
      <c r="O73" s="461"/>
      <c r="P73" s="272" t="s">
        <v>351</v>
      </c>
      <c r="Q73" s="273">
        <v>3</v>
      </c>
      <c r="R73" s="271"/>
    </row>
    <row r="74" spans="1:18" x14ac:dyDescent="0.4">
      <c r="A74" s="471" t="s">
        <v>352</v>
      </c>
      <c r="B74" s="472"/>
      <c r="C74" s="473"/>
      <c r="D74" s="469">
        <v>1.2</v>
      </c>
      <c r="E74" s="470"/>
      <c r="F74" s="469">
        <v>1.5</v>
      </c>
      <c r="G74" s="470"/>
      <c r="H74" s="469">
        <v>1.8</v>
      </c>
      <c r="I74" s="470"/>
      <c r="J74" s="469">
        <v>2.4</v>
      </c>
      <c r="K74" s="470"/>
      <c r="L74" s="469">
        <v>3</v>
      </c>
      <c r="M74" s="470"/>
      <c r="N74" s="469">
        <v>4</v>
      </c>
      <c r="O74" s="470"/>
      <c r="P74" s="274">
        <v>5</v>
      </c>
      <c r="Q74" s="274">
        <v>6</v>
      </c>
      <c r="R74" s="271"/>
    </row>
    <row r="75" spans="1:18" x14ac:dyDescent="0.4">
      <c r="A75" s="471" t="s">
        <v>353</v>
      </c>
      <c r="B75" s="472"/>
      <c r="C75" s="473"/>
      <c r="D75" s="469">
        <v>2</v>
      </c>
      <c r="E75" s="470"/>
      <c r="F75" s="469">
        <v>2.5</v>
      </c>
      <c r="G75" s="470"/>
      <c r="H75" s="469">
        <v>3</v>
      </c>
      <c r="I75" s="470"/>
      <c r="J75" s="469">
        <v>4</v>
      </c>
      <c r="K75" s="470"/>
      <c r="L75" s="469">
        <v>5</v>
      </c>
      <c r="M75" s="470"/>
      <c r="N75" s="469">
        <v>7</v>
      </c>
      <c r="O75" s="470"/>
      <c r="P75" s="274">
        <v>8</v>
      </c>
      <c r="Q75" s="274">
        <v>10</v>
      </c>
      <c r="R75" s="271"/>
    </row>
    <row r="76" spans="1:18" x14ac:dyDescent="0.4">
      <c r="A76" s="471" t="s">
        <v>354</v>
      </c>
      <c r="B76" s="472"/>
      <c r="C76" s="473"/>
      <c r="D76" s="469">
        <v>0.6</v>
      </c>
      <c r="E76" s="470"/>
      <c r="F76" s="469">
        <v>0.8</v>
      </c>
      <c r="G76" s="470"/>
      <c r="H76" s="469">
        <v>0.9</v>
      </c>
      <c r="I76" s="470"/>
      <c r="J76" s="469">
        <v>1.2</v>
      </c>
      <c r="K76" s="470"/>
      <c r="L76" s="469">
        <v>1.5</v>
      </c>
      <c r="M76" s="470"/>
      <c r="N76" s="469">
        <v>2</v>
      </c>
      <c r="O76" s="470"/>
      <c r="P76" s="274">
        <v>2.5</v>
      </c>
      <c r="Q76" s="274">
        <v>3</v>
      </c>
      <c r="R76" s="271"/>
    </row>
    <row r="77" spans="1:18" x14ac:dyDescent="0.4">
      <c r="A77" s="471" t="s">
        <v>355</v>
      </c>
      <c r="B77" s="472"/>
      <c r="C77" s="473"/>
      <c r="D77" s="469">
        <v>3</v>
      </c>
      <c r="E77" s="470"/>
      <c r="F77" s="469">
        <v>4</v>
      </c>
      <c r="G77" s="470"/>
      <c r="H77" s="469">
        <v>5</v>
      </c>
      <c r="I77" s="470"/>
      <c r="J77" s="469">
        <v>6</v>
      </c>
      <c r="K77" s="470"/>
      <c r="L77" s="469">
        <v>7</v>
      </c>
      <c r="M77" s="470"/>
      <c r="N77" s="469">
        <v>10</v>
      </c>
      <c r="O77" s="470"/>
      <c r="P77" s="274">
        <v>12</v>
      </c>
      <c r="Q77" s="274">
        <v>15</v>
      </c>
      <c r="R77" s="271"/>
    </row>
    <row r="78" spans="1:18" x14ac:dyDescent="0.4">
      <c r="A78" s="471" t="s">
        <v>356</v>
      </c>
      <c r="B78" s="472"/>
      <c r="C78" s="473"/>
      <c r="D78" s="469">
        <v>0.4</v>
      </c>
      <c r="E78" s="470"/>
      <c r="F78" s="469">
        <v>0.5</v>
      </c>
      <c r="G78" s="470"/>
      <c r="H78" s="469">
        <v>0.6</v>
      </c>
      <c r="I78" s="470"/>
      <c r="J78" s="469">
        <v>0.8</v>
      </c>
      <c r="K78" s="470"/>
      <c r="L78" s="469">
        <v>1</v>
      </c>
      <c r="M78" s="470"/>
      <c r="N78" s="469">
        <v>1.3</v>
      </c>
      <c r="O78" s="470"/>
      <c r="P78" s="274">
        <v>1.6</v>
      </c>
      <c r="Q78" s="274">
        <v>2</v>
      </c>
      <c r="R78" s="271"/>
    </row>
    <row r="79" spans="1:18" x14ac:dyDescent="0.4">
      <c r="A79" s="471" t="s">
        <v>357</v>
      </c>
      <c r="B79" s="472"/>
      <c r="C79" s="473"/>
      <c r="D79" s="469">
        <v>0.8</v>
      </c>
      <c r="E79" s="470"/>
      <c r="F79" s="469">
        <v>1.1000000000000001</v>
      </c>
      <c r="G79" s="470"/>
      <c r="H79" s="469">
        <v>1.5</v>
      </c>
      <c r="I79" s="470"/>
      <c r="J79" s="469">
        <v>1.9</v>
      </c>
      <c r="K79" s="470"/>
      <c r="L79" s="469">
        <v>2.2000000000000002</v>
      </c>
      <c r="M79" s="470"/>
      <c r="N79" s="469">
        <v>3</v>
      </c>
      <c r="O79" s="470"/>
      <c r="P79" s="274">
        <v>3.7</v>
      </c>
      <c r="Q79" s="274">
        <v>4.5</v>
      </c>
      <c r="R79" s="271"/>
    </row>
    <row r="80" spans="1:18" x14ac:dyDescent="0.4">
      <c r="A80" s="471" t="s">
        <v>358</v>
      </c>
      <c r="B80" s="472"/>
      <c r="C80" s="473"/>
      <c r="D80" s="469">
        <v>0.8</v>
      </c>
      <c r="E80" s="470"/>
      <c r="F80" s="469">
        <v>1.1000000000000001</v>
      </c>
      <c r="G80" s="470"/>
      <c r="H80" s="469">
        <v>1.5</v>
      </c>
      <c r="I80" s="470"/>
      <c r="J80" s="469">
        <v>1.9</v>
      </c>
      <c r="K80" s="470"/>
      <c r="L80" s="469">
        <v>2.2000000000000002</v>
      </c>
      <c r="M80" s="470"/>
      <c r="N80" s="469">
        <v>3</v>
      </c>
      <c r="O80" s="470"/>
      <c r="P80" s="274">
        <v>3.7</v>
      </c>
      <c r="Q80" s="274">
        <v>4.5</v>
      </c>
      <c r="R80" s="271"/>
    </row>
    <row r="81" spans="1:18" x14ac:dyDescent="0.4">
      <c r="A81" s="471" t="s">
        <v>359</v>
      </c>
      <c r="B81" s="472"/>
      <c r="C81" s="473"/>
      <c r="D81" s="469">
        <v>5.6</v>
      </c>
      <c r="E81" s="470"/>
      <c r="F81" s="469">
        <v>8.4</v>
      </c>
      <c r="G81" s="470"/>
      <c r="H81" s="469">
        <v>11.2</v>
      </c>
      <c r="I81" s="470"/>
      <c r="J81" s="469">
        <v>14</v>
      </c>
      <c r="K81" s="470"/>
      <c r="L81" s="469">
        <v>16.8</v>
      </c>
      <c r="M81" s="470"/>
      <c r="N81" s="469">
        <v>22.4</v>
      </c>
      <c r="O81" s="470"/>
      <c r="P81" s="274">
        <v>28</v>
      </c>
      <c r="Q81" s="274">
        <v>33.6</v>
      </c>
      <c r="R81" s="271"/>
    </row>
    <row r="82" spans="1:18" x14ac:dyDescent="0.4">
      <c r="A82" s="471" t="s">
        <v>360</v>
      </c>
      <c r="B82" s="472"/>
      <c r="C82" s="473"/>
      <c r="D82" s="469">
        <v>15</v>
      </c>
      <c r="E82" s="470"/>
      <c r="F82" s="469">
        <v>20</v>
      </c>
      <c r="G82" s="470"/>
      <c r="H82" s="469">
        <v>25</v>
      </c>
      <c r="I82" s="470"/>
      <c r="J82" s="469">
        <v>35</v>
      </c>
      <c r="K82" s="470"/>
      <c r="L82" s="469">
        <v>45</v>
      </c>
      <c r="M82" s="470"/>
      <c r="N82" s="469">
        <v>55</v>
      </c>
      <c r="O82" s="470"/>
      <c r="P82" s="274">
        <v>65</v>
      </c>
      <c r="Q82" s="274">
        <v>80</v>
      </c>
      <c r="R82" s="271"/>
    </row>
    <row r="83" spans="1:18" x14ac:dyDescent="0.4">
      <c r="A83" s="471" t="s">
        <v>361</v>
      </c>
      <c r="B83" s="472"/>
      <c r="C83" s="473"/>
      <c r="D83" s="469">
        <v>8</v>
      </c>
      <c r="E83" s="470"/>
      <c r="F83" s="469">
        <v>12</v>
      </c>
      <c r="G83" s="470"/>
      <c r="H83" s="469">
        <v>15</v>
      </c>
      <c r="I83" s="470"/>
      <c r="J83" s="469">
        <v>18</v>
      </c>
      <c r="K83" s="470"/>
      <c r="L83" s="469">
        <v>22</v>
      </c>
      <c r="M83" s="470"/>
      <c r="N83" s="469">
        <v>28</v>
      </c>
      <c r="O83" s="470"/>
      <c r="P83" s="274">
        <v>34</v>
      </c>
      <c r="Q83" s="274">
        <v>40</v>
      </c>
      <c r="R83" s="271"/>
    </row>
    <row r="84" spans="1:18" x14ac:dyDescent="0.4">
      <c r="A84" s="474" t="s">
        <v>362</v>
      </c>
      <c r="B84" s="474"/>
      <c r="C84" s="474"/>
      <c r="D84" s="474"/>
      <c r="E84" s="474"/>
      <c r="F84" s="474"/>
      <c r="G84" s="474"/>
      <c r="H84" s="474"/>
      <c r="I84" s="474"/>
      <c r="J84" s="474"/>
      <c r="K84" s="474"/>
      <c r="L84" s="474"/>
      <c r="M84" s="474"/>
      <c r="N84" s="474"/>
      <c r="O84" s="474"/>
      <c r="P84" s="474"/>
      <c r="Q84" s="474"/>
      <c r="R84" s="474"/>
    </row>
    <row r="85" spans="1:18" ht="39.65" customHeight="1" x14ac:dyDescent="0.4">
      <c r="A85" s="468" t="s">
        <v>363</v>
      </c>
      <c r="B85" s="468"/>
      <c r="C85" s="468"/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</row>
    <row r="86" spans="1:18" x14ac:dyDescent="0.4">
      <c r="A86" s="475" t="s">
        <v>364</v>
      </c>
      <c r="B86" s="478" t="s">
        <v>365</v>
      </c>
      <c r="C86" s="479"/>
      <c r="D86" s="479"/>
      <c r="E86" s="479"/>
      <c r="F86" s="479"/>
      <c r="G86" s="479"/>
      <c r="H86" s="480"/>
      <c r="I86" s="481" t="s">
        <v>366</v>
      </c>
      <c r="J86" s="482"/>
      <c r="K86" s="478" t="s">
        <v>367</v>
      </c>
      <c r="L86" s="479"/>
      <c r="M86" s="479"/>
      <c r="N86" s="479"/>
      <c r="O86" s="479"/>
      <c r="P86" s="479"/>
      <c r="Q86" s="480"/>
      <c r="R86" s="271"/>
    </row>
    <row r="87" spans="1:18" x14ac:dyDescent="0.4">
      <c r="A87" s="476"/>
      <c r="B87" s="487" t="s">
        <v>368</v>
      </c>
      <c r="C87" s="488"/>
      <c r="D87" s="489"/>
      <c r="E87" s="487" t="s">
        <v>369</v>
      </c>
      <c r="F87" s="488"/>
      <c r="G87" s="488"/>
      <c r="H87" s="489"/>
      <c r="I87" s="483"/>
      <c r="J87" s="484"/>
      <c r="K87" s="490" t="s">
        <v>370</v>
      </c>
      <c r="L87" s="491"/>
      <c r="M87" s="490" t="s">
        <v>371</v>
      </c>
      <c r="N87" s="491"/>
      <c r="O87" s="481" t="s">
        <v>372</v>
      </c>
      <c r="P87" s="482"/>
      <c r="Q87" s="494" t="s">
        <v>373</v>
      </c>
      <c r="R87" s="271"/>
    </row>
    <row r="88" spans="1:18" x14ac:dyDescent="0.4">
      <c r="A88" s="477"/>
      <c r="B88" s="275" t="s">
        <v>374</v>
      </c>
      <c r="C88" s="496" t="s">
        <v>375</v>
      </c>
      <c r="D88" s="497"/>
      <c r="E88" s="498" t="s">
        <v>376</v>
      </c>
      <c r="F88" s="499"/>
      <c r="G88" s="500" t="s">
        <v>377</v>
      </c>
      <c r="H88" s="501"/>
      <c r="I88" s="485"/>
      <c r="J88" s="486"/>
      <c r="K88" s="492"/>
      <c r="L88" s="493"/>
      <c r="M88" s="492"/>
      <c r="N88" s="493"/>
      <c r="O88" s="485"/>
      <c r="P88" s="486"/>
      <c r="Q88" s="495"/>
      <c r="R88" s="271"/>
    </row>
    <row r="89" spans="1:18" x14ac:dyDescent="0.4">
      <c r="A89" s="276" t="s">
        <v>378</v>
      </c>
      <c r="B89" s="274">
        <v>0.5</v>
      </c>
      <c r="C89" s="502" t="s">
        <v>379</v>
      </c>
      <c r="D89" s="503"/>
      <c r="E89" s="469">
        <v>1.5</v>
      </c>
      <c r="F89" s="470"/>
      <c r="G89" s="502" t="s">
        <v>379</v>
      </c>
      <c r="H89" s="503"/>
      <c r="I89" s="502" t="s">
        <v>379</v>
      </c>
      <c r="J89" s="503"/>
      <c r="K89" s="502" t="s">
        <v>379</v>
      </c>
      <c r="L89" s="503"/>
      <c r="M89" s="502" t="s">
        <v>379</v>
      </c>
      <c r="N89" s="503"/>
      <c r="O89" s="502" t="s">
        <v>379</v>
      </c>
      <c r="P89" s="503"/>
      <c r="Q89" s="274">
        <v>1.5</v>
      </c>
      <c r="R89" s="271"/>
    </row>
    <row r="90" spans="1:18" x14ac:dyDescent="0.4">
      <c r="A90" s="277" t="s">
        <v>380</v>
      </c>
      <c r="B90" s="278">
        <v>1</v>
      </c>
      <c r="C90" s="469">
        <v>0.5</v>
      </c>
      <c r="D90" s="470"/>
      <c r="E90" s="504">
        <v>2</v>
      </c>
      <c r="F90" s="505"/>
      <c r="G90" s="502" t="s">
        <v>379</v>
      </c>
      <c r="H90" s="503"/>
      <c r="I90" s="502" t="s">
        <v>379</v>
      </c>
      <c r="J90" s="503"/>
      <c r="K90" s="502" t="s">
        <v>379</v>
      </c>
      <c r="L90" s="503"/>
      <c r="M90" s="502" t="s">
        <v>379</v>
      </c>
      <c r="N90" s="503"/>
      <c r="O90" s="502" t="s">
        <v>379</v>
      </c>
      <c r="P90" s="503"/>
      <c r="Q90" s="278">
        <v>2</v>
      </c>
      <c r="R90" s="271"/>
    </row>
    <row r="91" spans="1:18" x14ac:dyDescent="0.4">
      <c r="A91" s="279" t="s">
        <v>381</v>
      </c>
      <c r="B91" s="274">
        <v>1.5</v>
      </c>
      <c r="C91" s="469">
        <v>0.5</v>
      </c>
      <c r="D91" s="470"/>
      <c r="E91" s="504">
        <v>2</v>
      </c>
      <c r="F91" s="505"/>
      <c r="G91" s="506" t="s">
        <v>382</v>
      </c>
      <c r="H91" s="507"/>
      <c r="I91" s="506" t="s">
        <v>382</v>
      </c>
      <c r="J91" s="507"/>
      <c r="K91" s="506" t="s">
        <v>382</v>
      </c>
      <c r="L91" s="507"/>
      <c r="M91" s="506" t="s">
        <v>382</v>
      </c>
      <c r="N91" s="507"/>
      <c r="O91" s="506" t="s">
        <v>382</v>
      </c>
      <c r="P91" s="507"/>
      <c r="Q91" s="274">
        <v>2.5</v>
      </c>
      <c r="R91" s="271"/>
    </row>
    <row r="92" spans="1:18" x14ac:dyDescent="0.4">
      <c r="A92" s="279" t="s">
        <v>383</v>
      </c>
      <c r="B92" s="278">
        <v>2</v>
      </c>
      <c r="C92" s="469">
        <v>0.5</v>
      </c>
      <c r="D92" s="470"/>
      <c r="E92" s="504">
        <v>3</v>
      </c>
      <c r="F92" s="505"/>
      <c r="G92" s="506" t="s">
        <v>382</v>
      </c>
      <c r="H92" s="507"/>
      <c r="I92" s="506" t="s">
        <v>382</v>
      </c>
      <c r="J92" s="507"/>
      <c r="K92" s="506" t="s">
        <v>382</v>
      </c>
      <c r="L92" s="507"/>
      <c r="M92" s="506" t="s">
        <v>382</v>
      </c>
      <c r="N92" s="507"/>
      <c r="O92" s="506" t="s">
        <v>382</v>
      </c>
      <c r="P92" s="507"/>
      <c r="Q92" s="278">
        <v>3</v>
      </c>
      <c r="R92" s="271"/>
    </row>
    <row r="93" spans="1:18" x14ac:dyDescent="0.4">
      <c r="A93" s="280">
        <v>1</v>
      </c>
      <c r="B93" s="274">
        <v>2.5</v>
      </c>
      <c r="C93" s="504">
        <v>1</v>
      </c>
      <c r="D93" s="505"/>
      <c r="E93" s="469">
        <v>4.5</v>
      </c>
      <c r="F93" s="470"/>
      <c r="G93" s="506" t="s">
        <v>382</v>
      </c>
      <c r="H93" s="507"/>
      <c r="I93" s="506" t="s">
        <v>382</v>
      </c>
      <c r="J93" s="507"/>
      <c r="K93" s="469">
        <v>0.5</v>
      </c>
      <c r="L93" s="470"/>
      <c r="M93" s="506" t="s">
        <v>382</v>
      </c>
      <c r="N93" s="507"/>
      <c r="O93" s="506" t="s">
        <v>382</v>
      </c>
      <c r="P93" s="507"/>
      <c r="Q93" s="274">
        <v>4.5</v>
      </c>
      <c r="R93" s="271"/>
    </row>
    <row r="94" spans="1:18" x14ac:dyDescent="0.4">
      <c r="A94" s="276" t="s">
        <v>384</v>
      </c>
      <c r="B94" s="278">
        <v>3</v>
      </c>
      <c r="C94" s="504">
        <v>1</v>
      </c>
      <c r="D94" s="505"/>
      <c r="E94" s="469">
        <v>5.5</v>
      </c>
      <c r="F94" s="470"/>
      <c r="G94" s="469">
        <v>0.5</v>
      </c>
      <c r="H94" s="470"/>
      <c r="I94" s="469">
        <v>0.5</v>
      </c>
      <c r="J94" s="470"/>
      <c r="K94" s="469">
        <v>0.5</v>
      </c>
      <c r="L94" s="470"/>
      <c r="M94" s="502" t="s">
        <v>379</v>
      </c>
      <c r="N94" s="503"/>
      <c r="O94" s="502" t="s">
        <v>379</v>
      </c>
      <c r="P94" s="503"/>
      <c r="Q94" s="274">
        <v>5.5</v>
      </c>
      <c r="R94" s="271"/>
    </row>
    <row r="95" spans="1:18" x14ac:dyDescent="0.4">
      <c r="A95" s="276" t="s">
        <v>385</v>
      </c>
      <c r="B95" s="278">
        <v>4</v>
      </c>
      <c r="C95" s="469">
        <v>1.5</v>
      </c>
      <c r="D95" s="470"/>
      <c r="E95" s="504">
        <v>7</v>
      </c>
      <c r="F95" s="505"/>
      <c r="G95" s="469">
        <v>0.5</v>
      </c>
      <c r="H95" s="470"/>
      <c r="I95" s="469">
        <v>0.5</v>
      </c>
      <c r="J95" s="470"/>
      <c r="K95" s="469">
        <v>0.5</v>
      </c>
      <c r="L95" s="470"/>
      <c r="M95" s="502" t="s">
        <v>379</v>
      </c>
      <c r="N95" s="503"/>
      <c r="O95" s="502" t="s">
        <v>379</v>
      </c>
      <c r="P95" s="503"/>
      <c r="Q95" s="274">
        <v>6.5</v>
      </c>
      <c r="R95" s="271"/>
    </row>
    <row r="96" spans="1:18" x14ac:dyDescent="0.4">
      <c r="A96" s="280">
        <v>2</v>
      </c>
      <c r="B96" s="274">
        <v>5.5</v>
      </c>
      <c r="C96" s="504">
        <v>2</v>
      </c>
      <c r="D96" s="505"/>
      <c r="E96" s="504">
        <v>9</v>
      </c>
      <c r="F96" s="505"/>
      <c r="G96" s="469">
        <v>0.5</v>
      </c>
      <c r="H96" s="470"/>
      <c r="I96" s="469">
        <v>0.5</v>
      </c>
      <c r="J96" s="470"/>
      <c r="K96" s="469">
        <v>0.5</v>
      </c>
      <c r="L96" s="470"/>
      <c r="M96" s="469">
        <v>0.5</v>
      </c>
      <c r="N96" s="470"/>
      <c r="O96" s="469">
        <v>7.5</v>
      </c>
      <c r="P96" s="470"/>
      <c r="Q96" s="278">
        <v>9</v>
      </c>
      <c r="R96" s="271"/>
    </row>
    <row r="97" spans="1:18" x14ac:dyDescent="0.4">
      <c r="A97" s="276" t="s">
        <v>386</v>
      </c>
      <c r="B97" s="278">
        <v>7</v>
      </c>
      <c r="C97" s="469">
        <v>2.5</v>
      </c>
      <c r="D97" s="470"/>
      <c r="E97" s="504">
        <v>12</v>
      </c>
      <c r="F97" s="505"/>
      <c r="G97" s="469">
        <v>0.5</v>
      </c>
      <c r="H97" s="470"/>
      <c r="I97" s="469">
        <v>0.5</v>
      </c>
      <c r="J97" s="470"/>
      <c r="K97" s="502" t="s">
        <v>379</v>
      </c>
      <c r="L97" s="503"/>
      <c r="M97" s="504">
        <v>1</v>
      </c>
      <c r="N97" s="505"/>
      <c r="O97" s="504">
        <v>10</v>
      </c>
      <c r="P97" s="505"/>
      <c r="Q97" s="274">
        <v>11.5</v>
      </c>
      <c r="R97" s="271"/>
    </row>
    <row r="98" spans="1:18" x14ac:dyDescent="0.4">
      <c r="A98" s="280">
        <v>3</v>
      </c>
      <c r="B98" s="278">
        <v>9</v>
      </c>
      <c r="C98" s="469">
        <v>3.5</v>
      </c>
      <c r="D98" s="470"/>
      <c r="E98" s="504">
        <v>15</v>
      </c>
      <c r="F98" s="505"/>
      <c r="G98" s="504">
        <v>1</v>
      </c>
      <c r="H98" s="505"/>
      <c r="I98" s="504">
        <v>1</v>
      </c>
      <c r="J98" s="505"/>
      <c r="K98" s="506" t="s">
        <v>382</v>
      </c>
      <c r="L98" s="507"/>
      <c r="M98" s="469">
        <v>1.5</v>
      </c>
      <c r="N98" s="470"/>
      <c r="O98" s="469">
        <v>15.5</v>
      </c>
      <c r="P98" s="470"/>
      <c r="Q98" s="274">
        <v>14.5</v>
      </c>
      <c r="R98" s="271"/>
    </row>
    <row r="99" spans="1:18" x14ac:dyDescent="0.4">
      <c r="A99" s="281" t="s">
        <v>387</v>
      </c>
      <c r="B99" s="278">
        <v>9</v>
      </c>
      <c r="C99" s="469">
        <v>3.5</v>
      </c>
      <c r="D99" s="470"/>
      <c r="E99" s="504">
        <v>14</v>
      </c>
      <c r="F99" s="505"/>
      <c r="G99" s="504">
        <v>1</v>
      </c>
      <c r="H99" s="505"/>
      <c r="I99" s="504">
        <v>1</v>
      </c>
      <c r="J99" s="505"/>
      <c r="K99" s="506" t="s">
        <v>382</v>
      </c>
      <c r="L99" s="507"/>
      <c r="M99" s="504">
        <v>2</v>
      </c>
      <c r="N99" s="505"/>
      <c r="O99" s="506" t="s">
        <v>382</v>
      </c>
      <c r="P99" s="507"/>
      <c r="Q99" s="274">
        <v>12.5</v>
      </c>
      <c r="R99" s="271"/>
    </row>
    <row r="100" spans="1:18" x14ac:dyDescent="0.4">
      <c r="A100" s="280">
        <v>4</v>
      </c>
      <c r="B100" s="274">
        <v>12.5</v>
      </c>
      <c r="C100" s="504">
        <v>5</v>
      </c>
      <c r="D100" s="505"/>
      <c r="E100" s="504">
        <v>21</v>
      </c>
      <c r="F100" s="505"/>
      <c r="G100" s="504">
        <v>1</v>
      </c>
      <c r="H100" s="505"/>
      <c r="I100" s="504">
        <v>1</v>
      </c>
      <c r="J100" s="505"/>
      <c r="K100" s="506" t="s">
        <v>382</v>
      </c>
      <c r="L100" s="507"/>
      <c r="M100" s="504">
        <v>2</v>
      </c>
      <c r="N100" s="505"/>
      <c r="O100" s="504">
        <v>16</v>
      </c>
      <c r="P100" s="505"/>
      <c r="Q100" s="274">
        <v>18.5</v>
      </c>
      <c r="R100" s="271"/>
    </row>
    <row r="101" spans="1:18" x14ac:dyDescent="0.4">
      <c r="A101" s="280">
        <v>5</v>
      </c>
      <c r="B101" s="278">
        <v>16</v>
      </c>
      <c r="C101" s="504">
        <v>6</v>
      </c>
      <c r="D101" s="505"/>
      <c r="E101" s="504">
        <v>27</v>
      </c>
      <c r="F101" s="505"/>
      <c r="G101" s="469">
        <v>1.5</v>
      </c>
      <c r="H101" s="470"/>
      <c r="I101" s="469">
        <v>1.5</v>
      </c>
      <c r="J101" s="470"/>
      <c r="K101" s="502" t="s">
        <v>379</v>
      </c>
      <c r="L101" s="503"/>
      <c r="M101" s="504">
        <v>3</v>
      </c>
      <c r="N101" s="505"/>
      <c r="O101" s="469">
        <v>11.5</v>
      </c>
      <c r="P101" s="470"/>
      <c r="Q101" s="274">
        <v>23.5</v>
      </c>
      <c r="R101" s="271"/>
    </row>
    <row r="102" spans="1:18" x14ac:dyDescent="0.4">
      <c r="A102" s="280">
        <v>6</v>
      </c>
      <c r="B102" s="278">
        <v>19</v>
      </c>
      <c r="C102" s="504">
        <v>7</v>
      </c>
      <c r="D102" s="505"/>
      <c r="E102" s="504">
        <v>34</v>
      </c>
      <c r="F102" s="505"/>
      <c r="G102" s="504">
        <v>2</v>
      </c>
      <c r="H102" s="505"/>
      <c r="I102" s="504">
        <v>2</v>
      </c>
      <c r="J102" s="505"/>
      <c r="K102" s="502" t="s">
        <v>379</v>
      </c>
      <c r="L102" s="503"/>
      <c r="M102" s="469">
        <v>3.5</v>
      </c>
      <c r="N102" s="470"/>
      <c r="O102" s="469">
        <v>13.5</v>
      </c>
      <c r="P102" s="470"/>
      <c r="Q102" s="274">
        <v>26.5</v>
      </c>
      <c r="R102" s="271"/>
    </row>
    <row r="103" spans="1:18" x14ac:dyDescent="0.4">
      <c r="A103" s="280">
        <v>8</v>
      </c>
      <c r="B103" s="278">
        <v>29</v>
      </c>
      <c r="C103" s="504">
        <v>11</v>
      </c>
      <c r="D103" s="505"/>
      <c r="E103" s="504">
        <v>50</v>
      </c>
      <c r="F103" s="505"/>
      <c r="G103" s="504">
        <v>3</v>
      </c>
      <c r="H103" s="505"/>
      <c r="I103" s="504">
        <v>3</v>
      </c>
      <c r="J103" s="505"/>
      <c r="K103" s="502" t="s">
        <v>379</v>
      </c>
      <c r="L103" s="503"/>
      <c r="M103" s="504">
        <v>5</v>
      </c>
      <c r="N103" s="505"/>
      <c r="O103" s="469">
        <v>12.5</v>
      </c>
      <c r="P103" s="470"/>
      <c r="Q103" s="278">
        <v>39</v>
      </c>
      <c r="R103" s="271"/>
    </row>
    <row r="104" spans="1:18" ht="34.200000000000003" customHeight="1" x14ac:dyDescent="0.4">
      <c r="A104" s="474" t="s">
        <v>388</v>
      </c>
      <c r="B104" s="474"/>
      <c r="C104" s="474"/>
      <c r="D104" s="474"/>
      <c r="E104" s="474"/>
      <c r="F104" s="474"/>
      <c r="G104" s="474"/>
      <c r="H104" s="474"/>
      <c r="I104" s="474"/>
      <c r="J104" s="474"/>
      <c r="K104" s="474"/>
      <c r="L104" s="474"/>
      <c r="M104" s="474"/>
      <c r="N104" s="474"/>
      <c r="O104" s="474"/>
      <c r="P104" s="474"/>
      <c r="Q104" s="474"/>
      <c r="R104" s="474"/>
    </row>
  </sheetData>
  <mergeCells count="220">
    <mergeCell ref="O103:P103"/>
    <mergeCell ref="A104:R104"/>
    <mergeCell ref="C103:D103"/>
    <mergeCell ref="E103:F103"/>
    <mergeCell ref="G103:H103"/>
    <mergeCell ref="I103:J103"/>
    <mergeCell ref="K103:L103"/>
    <mergeCell ref="M103:N103"/>
    <mergeCell ref="O101:P101"/>
    <mergeCell ref="C102:D102"/>
    <mergeCell ref="E102:F102"/>
    <mergeCell ref="G102:H102"/>
    <mergeCell ref="I102:J102"/>
    <mergeCell ref="K102:L102"/>
    <mergeCell ref="M102:N102"/>
    <mergeCell ref="O102:P102"/>
    <mergeCell ref="C101:D101"/>
    <mergeCell ref="E101:F101"/>
    <mergeCell ref="G101:H101"/>
    <mergeCell ref="I101:J101"/>
    <mergeCell ref="K101:L101"/>
    <mergeCell ref="M101:N101"/>
    <mergeCell ref="O99:P99"/>
    <mergeCell ref="C100:D100"/>
    <mergeCell ref="E100:F100"/>
    <mergeCell ref="G100:H100"/>
    <mergeCell ref="I100:J100"/>
    <mergeCell ref="K100:L100"/>
    <mergeCell ref="M100:N100"/>
    <mergeCell ref="O100:P100"/>
    <mergeCell ref="C99:D99"/>
    <mergeCell ref="E99:F99"/>
    <mergeCell ref="G99:H99"/>
    <mergeCell ref="I99:J99"/>
    <mergeCell ref="K99:L99"/>
    <mergeCell ref="M99:N99"/>
    <mergeCell ref="O97:P97"/>
    <mergeCell ref="C98:D98"/>
    <mergeCell ref="E98:F98"/>
    <mergeCell ref="G98:H98"/>
    <mergeCell ref="I98:J98"/>
    <mergeCell ref="K98:L98"/>
    <mergeCell ref="M98:N98"/>
    <mergeCell ref="O98:P98"/>
    <mergeCell ref="C97:D97"/>
    <mergeCell ref="E97:F97"/>
    <mergeCell ref="G97:H97"/>
    <mergeCell ref="I97:J97"/>
    <mergeCell ref="K97:L97"/>
    <mergeCell ref="M97:N97"/>
    <mergeCell ref="O95:P95"/>
    <mergeCell ref="C96:D96"/>
    <mergeCell ref="E96:F96"/>
    <mergeCell ref="G96:H96"/>
    <mergeCell ref="I96:J96"/>
    <mergeCell ref="K96:L96"/>
    <mergeCell ref="M96:N96"/>
    <mergeCell ref="O96:P96"/>
    <mergeCell ref="C95:D95"/>
    <mergeCell ref="E95:F95"/>
    <mergeCell ref="G95:H95"/>
    <mergeCell ref="I95:J95"/>
    <mergeCell ref="K95:L95"/>
    <mergeCell ref="M95:N95"/>
    <mergeCell ref="O93:P93"/>
    <mergeCell ref="C94:D94"/>
    <mergeCell ref="E94:F94"/>
    <mergeCell ref="G94:H94"/>
    <mergeCell ref="I94:J94"/>
    <mergeCell ref="K94:L94"/>
    <mergeCell ref="M94:N94"/>
    <mergeCell ref="O94:P94"/>
    <mergeCell ref="C93:D93"/>
    <mergeCell ref="E93:F93"/>
    <mergeCell ref="G93:H93"/>
    <mergeCell ref="I93:J93"/>
    <mergeCell ref="K93:L93"/>
    <mergeCell ref="M93:N93"/>
    <mergeCell ref="O91:P91"/>
    <mergeCell ref="C92:D92"/>
    <mergeCell ref="E92:F92"/>
    <mergeCell ref="G92:H92"/>
    <mergeCell ref="I92:J92"/>
    <mergeCell ref="K92:L92"/>
    <mergeCell ref="M92:N92"/>
    <mergeCell ref="O92:P92"/>
    <mergeCell ref="C91:D91"/>
    <mergeCell ref="E91:F91"/>
    <mergeCell ref="G91:H91"/>
    <mergeCell ref="I91:J91"/>
    <mergeCell ref="K91:L91"/>
    <mergeCell ref="M91:N91"/>
    <mergeCell ref="C89:D89"/>
    <mergeCell ref="E89:F89"/>
    <mergeCell ref="G89:H89"/>
    <mergeCell ref="I89:J89"/>
    <mergeCell ref="K89:L89"/>
    <mergeCell ref="M89:N89"/>
    <mergeCell ref="O89:P89"/>
    <mergeCell ref="C90:D90"/>
    <mergeCell ref="E90:F90"/>
    <mergeCell ref="G90:H90"/>
    <mergeCell ref="I90:J90"/>
    <mergeCell ref="K90:L90"/>
    <mergeCell ref="M90:N90"/>
    <mergeCell ref="O90:P90"/>
    <mergeCell ref="A84:R84"/>
    <mergeCell ref="A85:R85"/>
    <mergeCell ref="A86:A88"/>
    <mergeCell ref="B86:H86"/>
    <mergeCell ref="I86:J88"/>
    <mergeCell ref="K86:Q86"/>
    <mergeCell ref="B87:D87"/>
    <mergeCell ref="E87:H87"/>
    <mergeCell ref="K87:L88"/>
    <mergeCell ref="M87:N88"/>
    <mergeCell ref="O87:P88"/>
    <mergeCell ref="Q87:Q88"/>
    <mergeCell ref="C88:D88"/>
    <mergeCell ref="E88:F88"/>
    <mergeCell ref="G88:H88"/>
    <mergeCell ref="N82:O82"/>
    <mergeCell ref="A83:C83"/>
    <mergeCell ref="D83:E83"/>
    <mergeCell ref="F83:G83"/>
    <mergeCell ref="H83:I83"/>
    <mergeCell ref="J83:K83"/>
    <mergeCell ref="L83:M83"/>
    <mergeCell ref="N83:O83"/>
    <mergeCell ref="A82:C82"/>
    <mergeCell ref="D82:E82"/>
    <mergeCell ref="F82:G82"/>
    <mergeCell ref="H82:I82"/>
    <mergeCell ref="J82:K82"/>
    <mergeCell ref="L82:M82"/>
    <mergeCell ref="N80:O80"/>
    <mergeCell ref="A81:C81"/>
    <mergeCell ref="D81:E81"/>
    <mergeCell ref="F81:G81"/>
    <mergeCell ref="H81:I81"/>
    <mergeCell ref="J81:K81"/>
    <mergeCell ref="L81:M81"/>
    <mergeCell ref="N81:O81"/>
    <mergeCell ref="A80:C80"/>
    <mergeCell ref="D80:E80"/>
    <mergeCell ref="F80:G80"/>
    <mergeCell ref="H80:I80"/>
    <mergeCell ref="J80:K80"/>
    <mergeCell ref="L80:M80"/>
    <mergeCell ref="N78:O78"/>
    <mergeCell ref="A79:C79"/>
    <mergeCell ref="D79:E79"/>
    <mergeCell ref="F79:G79"/>
    <mergeCell ref="H79:I79"/>
    <mergeCell ref="J79:K79"/>
    <mergeCell ref="L79:M79"/>
    <mergeCell ref="N79:O79"/>
    <mergeCell ref="A78:C78"/>
    <mergeCell ref="D78:E78"/>
    <mergeCell ref="F78:G78"/>
    <mergeCell ref="H78:I78"/>
    <mergeCell ref="J78:K78"/>
    <mergeCell ref="L78:M78"/>
    <mergeCell ref="N76:O76"/>
    <mergeCell ref="A77:C77"/>
    <mergeCell ref="D77:E77"/>
    <mergeCell ref="F77:G77"/>
    <mergeCell ref="H77:I77"/>
    <mergeCell ref="J77:K77"/>
    <mergeCell ref="L77:M77"/>
    <mergeCell ref="N77:O77"/>
    <mergeCell ref="A76:C76"/>
    <mergeCell ref="D76:E76"/>
    <mergeCell ref="F76:G76"/>
    <mergeCell ref="H76:I76"/>
    <mergeCell ref="J76:K76"/>
    <mergeCell ref="L76:M76"/>
    <mergeCell ref="N74:O74"/>
    <mergeCell ref="A75:C75"/>
    <mergeCell ref="D75:E75"/>
    <mergeCell ref="F75:G75"/>
    <mergeCell ref="H75:I75"/>
    <mergeCell ref="J75:K75"/>
    <mergeCell ref="L75:M75"/>
    <mergeCell ref="N75:O75"/>
    <mergeCell ref="A74:C74"/>
    <mergeCell ref="D74:E74"/>
    <mergeCell ref="F74:G74"/>
    <mergeCell ref="H74:I74"/>
    <mergeCell ref="J74:K74"/>
    <mergeCell ref="L74:M74"/>
    <mergeCell ref="F27:F28"/>
    <mergeCell ref="G27:I27"/>
    <mergeCell ref="J27:J28"/>
    <mergeCell ref="L27:L28"/>
    <mergeCell ref="M27:M28"/>
    <mergeCell ref="N27:P27"/>
    <mergeCell ref="A72:C73"/>
    <mergeCell ref="D72:Q72"/>
    <mergeCell ref="D73:E73"/>
    <mergeCell ref="F73:G73"/>
    <mergeCell ref="H73:I73"/>
    <mergeCell ref="J73:K73"/>
    <mergeCell ref="L73:M73"/>
    <mergeCell ref="N73:O73"/>
    <mergeCell ref="Q27:Q28"/>
    <mergeCell ref="Q52:Q53"/>
    <mergeCell ref="Q57:Q58"/>
    <mergeCell ref="O60:O61"/>
    <mergeCell ref="A70:R70"/>
    <mergeCell ref="A71:R71"/>
    <mergeCell ref="C5:I5"/>
    <mergeCell ref="C6:C7"/>
    <mergeCell ref="D6:F6"/>
    <mergeCell ref="G6:I6"/>
    <mergeCell ref="J6:J7"/>
    <mergeCell ref="K6:K7"/>
    <mergeCell ref="L6:L7"/>
    <mergeCell ref="M6:M7"/>
    <mergeCell ref="N6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</vt:lpstr>
      <vt:lpstr>HWCP CALCULATION OPT#1</vt:lpstr>
      <vt:lpstr>HWCP CALCULATION OPT#2</vt:lpstr>
      <vt:lpstr>HWR PIPE SIZE</vt:lpstr>
      <vt:lpstr>ASPE DATA SHEET</vt:lpstr>
      <vt:lpstr>HELPER</vt:lpstr>
      <vt:lpstr>STD PIPE SIZE</vt:lpstr>
      <vt:lpstr>'STD PIPE SIZE'!__goback</vt:lpstr>
      <vt:lpstr>COVER!Print_Area</vt:lpstr>
      <vt:lpstr>'HWCP CALCULATION OPT#1'!Print_Area</vt:lpstr>
      <vt:lpstr>'HWCP CALCULATION OPT#2'!Print_Area</vt:lpstr>
      <vt:lpstr>'HWR PIPE SIZE'!Print_Area</vt:lpstr>
      <vt:lpstr>'HWCP CALCULATION OPT#1'!Print_Titles</vt:lpstr>
      <vt:lpstr>'HWCP CALCULATION OPT#2'!Print_Titles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Aravindhan</dc:creator>
  <cp:lastModifiedBy>Shahid</cp:lastModifiedBy>
  <cp:lastPrinted>2017-10-21T05:28:39Z</cp:lastPrinted>
  <dcterms:created xsi:type="dcterms:W3CDTF">2016-02-22T08:20:01Z</dcterms:created>
  <dcterms:modified xsi:type="dcterms:W3CDTF">2022-11-02T05:50:11Z</dcterms:modified>
</cp:coreProperties>
</file>